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INF_021117" sheetId="1" r:id="rId1"/>
    <sheet name="Rekap_INF" sheetId="2" r:id="rId2"/>
    <sheet name="Harga Jual_BCL_Non Alas Kaki" sheetId="3" r:id="rId3"/>
    <sheet name="Rekap_BCL" sheetId="4" r:id="rId4"/>
    <sheet name="Log INF" sheetId="5" r:id="rId5"/>
    <sheet name="Log BCL" sheetId="7" r:id="rId6"/>
    <sheet name="Sheet1" sheetId="8" r:id="rId7"/>
  </sheets>
  <definedNames>
    <definedName name="_xlnm._FilterDatabase" localSheetId="0" hidden="1">'Harga Jual INF_021117'!$A$4:$CA$274</definedName>
    <definedName name="_xlnm._FilterDatabase" localSheetId="2" hidden="1">'Harga Jual_BCL_Non Alas Kaki'!$A$4:$BX$97</definedName>
    <definedName name="_xlnm.Print_Area" localSheetId="3">Rekap_BCL!$A$2:$E$17</definedName>
    <definedName name="_xlnm.Print_Area" localSheetId="1">Rekap_INF!$A$2:$E$60</definedName>
  </definedNames>
  <calcPr calcId="124519"/>
  <fileRecoveryPr autoRecover="0"/>
</workbook>
</file>

<file path=xl/calcChain.xml><?xml version="1.0" encoding="utf-8"?>
<calcChain xmlns="http://schemas.openxmlformats.org/spreadsheetml/2006/main">
  <c r="N157" i="1"/>
  <c r="N158"/>
  <c r="N159"/>
  <c r="N160"/>
  <c r="N161"/>
  <c r="N156"/>
  <c r="N153"/>
  <c r="N152"/>
  <c r="N151"/>
  <c r="N150"/>
  <c r="N154"/>
  <c r="N155"/>
  <c r="N79"/>
  <c r="N78"/>
  <c r="N77"/>
  <c r="N76"/>
  <c r="N75"/>
  <c r="N149"/>
  <c r="N148"/>
  <c r="N147"/>
  <c r="N263"/>
  <c r="N254"/>
  <c r="N265"/>
  <c r="N264"/>
  <c r="N256"/>
  <c r="N257"/>
  <c r="N258"/>
  <c r="N259"/>
  <c r="N260"/>
  <c r="N261"/>
  <c r="N262"/>
  <c r="N255"/>
  <c r="N250"/>
  <c r="N251"/>
  <c r="N252"/>
  <c r="N249"/>
  <c r="F247"/>
  <c r="F248"/>
  <c r="D247"/>
  <c r="D248"/>
  <c r="N244"/>
  <c r="N245"/>
  <c r="N243"/>
  <c r="N242"/>
  <c r="N241"/>
  <c r="N238"/>
  <c r="N239"/>
  <c r="N240"/>
  <c r="N237"/>
  <c r="F236"/>
  <c r="D236"/>
  <c r="F235"/>
  <c r="D235"/>
  <c r="N231"/>
  <c r="N232"/>
  <c r="N233"/>
  <c r="N234"/>
  <c r="N228"/>
  <c r="N229"/>
  <c r="N230"/>
  <c r="N227"/>
  <c r="N220"/>
  <c r="N219"/>
  <c r="N222"/>
  <c r="N223"/>
  <c r="N221"/>
  <c r="N224"/>
  <c r="M224" s="1"/>
  <c r="O224" s="1"/>
  <c r="N218"/>
  <c r="N226"/>
  <c r="N225"/>
  <c r="M225" s="1"/>
  <c r="O225" s="1"/>
  <c r="F216"/>
  <c r="D216"/>
  <c r="N215"/>
  <c r="N214"/>
  <c r="D217"/>
  <c r="F217"/>
  <c r="M217"/>
  <c r="O217" s="1"/>
  <c r="D218"/>
  <c r="F218"/>
  <c r="M218"/>
  <c r="K218" s="1"/>
  <c r="D219"/>
  <c r="F219"/>
  <c r="M219"/>
  <c r="K219" s="1"/>
  <c r="D220"/>
  <c r="F220"/>
  <c r="M220"/>
  <c r="O220" s="1"/>
  <c r="D221"/>
  <c r="F221"/>
  <c r="M221"/>
  <c r="O221" s="1"/>
  <c r="D222"/>
  <c r="F222"/>
  <c r="M222"/>
  <c r="K222" s="1"/>
  <c r="D223"/>
  <c r="F223"/>
  <c r="M223"/>
  <c r="K223" s="1"/>
  <c r="D224"/>
  <c r="F224"/>
  <c r="D225"/>
  <c r="F225"/>
  <c r="D226"/>
  <c r="F226"/>
  <c r="M226"/>
  <c r="K226" s="1"/>
  <c r="D227"/>
  <c r="F227"/>
  <c r="M227"/>
  <c r="K227" s="1"/>
  <c r="D228"/>
  <c r="F228"/>
  <c r="M228"/>
  <c r="O228" s="1"/>
  <c r="D229"/>
  <c r="F229"/>
  <c r="M229"/>
  <c r="O229" s="1"/>
  <c r="D230"/>
  <c r="F230"/>
  <c r="M230"/>
  <c r="K230" s="1"/>
  <c r="D231"/>
  <c r="F231"/>
  <c r="J231"/>
  <c r="K231" s="1"/>
  <c r="O231"/>
  <c r="D232"/>
  <c r="F232"/>
  <c r="J232"/>
  <c r="K232" s="1"/>
  <c r="O232"/>
  <c r="D233"/>
  <c r="F233"/>
  <c r="J233"/>
  <c r="K233" s="1"/>
  <c r="O233"/>
  <c r="D234"/>
  <c r="F234"/>
  <c r="J234"/>
  <c r="K234" s="1"/>
  <c r="O234"/>
  <c r="D237"/>
  <c r="F237"/>
  <c r="J237"/>
  <c r="K237" s="1"/>
  <c r="O237"/>
  <c r="D238"/>
  <c r="F238"/>
  <c r="J238"/>
  <c r="K238" s="1"/>
  <c r="O238"/>
  <c r="D239"/>
  <c r="F239"/>
  <c r="J239"/>
  <c r="K239" s="1"/>
  <c r="O239"/>
  <c r="D240"/>
  <c r="F240"/>
  <c r="J240"/>
  <c r="K240" s="1"/>
  <c r="O240"/>
  <c r="D241"/>
  <c r="F241"/>
  <c r="J241"/>
  <c r="K241" s="1"/>
  <c r="O241"/>
  <c r="D242"/>
  <c r="F242"/>
  <c r="J242"/>
  <c r="K242" s="1"/>
  <c r="O242"/>
  <c r="D243"/>
  <c r="F243"/>
  <c r="J243"/>
  <c r="K243" s="1"/>
  <c r="O243"/>
  <c r="D244"/>
  <c r="F244"/>
  <c r="J244"/>
  <c r="K244" s="1"/>
  <c r="O244"/>
  <c r="D245"/>
  <c r="F245"/>
  <c r="J245"/>
  <c r="K245" s="1"/>
  <c r="O245"/>
  <c r="D246"/>
  <c r="F246"/>
  <c r="J246"/>
  <c r="K246" s="1"/>
  <c r="O246"/>
  <c r="D249"/>
  <c r="F249"/>
  <c r="J249"/>
  <c r="K249" s="1"/>
  <c r="O249"/>
  <c r="D250"/>
  <c r="F250"/>
  <c r="J250"/>
  <c r="K250" s="1"/>
  <c r="O250"/>
  <c r="D251"/>
  <c r="F251"/>
  <c r="J251"/>
  <c r="K251" s="1"/>
  <c r="O251"/>
  <c r="D252"/>
  <c r="F252"/>
  <c r="J252"/>
  <c r="K252" s="1"/>
  <c r="O252"/>
  <c r="D254"/>
  <c r="F254"/>
  <c r="J254"/>
  <c r="K254" s="1"/>
  <c r="O254"/>
  <c r="D253"/>
  <c r="F253"/>
  <c r="K253"/>
  <c r="O253"/>
  <c r="D255"/>
  <c r="F255"/>
  <c r="J255"/>
  <c r="K255" s="1"/>
  <c r="O255"/>
  <c r="D256"/>
  <c r="F256"/>
  <c r="J256"/>
  <c r="K256" s="1"/>
  <c r="O256"/>
  <c r="D257"/>
  <c r="F257"/>
  <c r="J257"/>
  <c r="K257" s="1"/>
  <c r="O257"/>
  <c r="D258"/>
  <c r="F258"/>
  <c r="J258"/>
  <c r="K258" s="1"/>
  <c r="O258"/>
  <c r="D259"/>
  <c r="F259"/>
  <c r="J259"/>
  <c r="K259" s="1"/>
  <c r="O259"/>
  <c r="D260"/>
  <c r="F260"/>
  <c r="J260"/>
  <c r="K260" s="1"/>
  <c r="O260"/>
  <c r="D261"/>
  <c r="F261"/>
  <c r="J261"/>
  <c r="K261" s="1"/>
  <c r="O261"/>
  <c r="D262"/>
  <c r="F262"/>
  <c r="J262"/>
  <c r="K262" s="1"/>
  <c r="O262"/>
  <c r="D263"/>
  <c r="F263"/>
  <c r="J263"/>
  <c r="K263" s="1"/>
  <c r="O263"/>
  <c r="D264"/>
  <c r="F264"/>
  <c r="J264"/>
  <c r="K264" s="1"/>
  <c r="O264"/>
  <c r="D265"/>
  <c r="F265"/>
  <c r="J265"/>
  <c r="K265" s="1"/>
  <c r="O265"/>
  <c r="D266"/>
  <c r="F266"/>
  <c r="J266"/>
  <c r="K266" s="1"/>
  <c r="O266"/>
  <c r="D267"/>
  <c r="F267"/>
  <c r="J267"/>
  <c r="K267" s="1"/>
  <c r="O267"/>
  <c r="D268"/>
  <c r="F268"/>
  <c r="J268"/>
  <c r="K268" s="1"/>
  <c r="O268"/>
  <c r="N33"/>
  <c r="M33" s="1"/>
  <c r="N32"/>
  <c r="N30"/>
  <c r="N31"/>
  <c r="N114"/>
  <c r="M114" s="1"/>
  <c r="N113"/>
  <c r="N111"/>
  <c r="N112"/>
  <c r="M112" s="1"/>
  <c r="N110"/>
  <c r="M110" s="1"/>
  <c r="F115"/>
  <c r="D115"/>
  <c r="N105"/>
  <c r="N106"/>
  <c r="M106" s="1"/>
  <c r="N107"/>
  <c r="M107" s="1"/>
  <c r="N108"/>
  <c r="N109"/>
  <c r="N104"/>
  <c r="M104" s="1"/>
  <c r="N35"/>
  <c r="N34"/>
  <c r="N36"/>
  <c r="N37"/>
  <c r="M37" s="1"/>
  <c r="F24"/>
  <c r="F23"/>
  <c r="D23"/>
  <c r="N22"/>
  <c r="N21"/>
  <c r="N20"/>
  <c r="N19"/>
  <c r="N18"/>
  <c r="N17"/>
  <c r="M17" s="1"/>
  <c r="N16"/>
  <c r="N15"/>
  <c r="N14"/>
  <c r="D24"/>
  <c r="N13"/>
  <c r="N11"/>
  <c r="N12"/>
  <c r="N10"/>
  <c r="N6"/>
  <c r="N7"/>
  <c r="N8"/>
  <c r="M8" s="1"/>
  <c r="N9"/>
  <c r="N5"/>
  <c r="J26"/>
  <c r="J27"/>
  <c r="J28"/>
  <c r="J29"/>
  <c r="J25"/>
  <c r="J207"/>
  <c r="J208"/>
  <c r="J206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184"/>
  <c r="M215"/>
  <c r="M214"/>
  <c r="M213"/>
  <c r="M212"/>
  <c r="M211"/>
  <c r="M210"/>
  <c r="M209"/>
  <c r="M205"/>
  <c r="M204"/>
  <c r="M31"/>
  <c r="M32"/>
  <c r="M34"/>
  <c r="M35"/>
  <c r="M36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K99" s="1"/>
  <c r="M100"/>
  <c r="M101"/>
  <c r="M102"/>
  <c r="M103"/>
  <c r="M105"/>
  <c r="M108"/>
  <c r="M109"/>
  <c r="M111"/>
  <c r="M113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6"/>
  <c r="M7"/>
  <c r="M9"/>
  <c r="K9" s="1"/>
  <c r="M10"/>
  <c r="M11"/>
  <c r="M12"/>
  <c r="M13"/>
  <c r="M14"/>
  <c r="M15"/>
  <c r="M16"/>
  <c r="M18"/>
  <c r="M19"/>
  <c r="M20"/>
  <c r="M21"/>
  <c r="M22"/>
  <c r="M5"/>
  <c r="V97" i="7"/>
  <c r="V92"/>
  <c r="V90"/>
  <c r="V86"/>
  <c r="V85"/>
  <c r="V82"/>
  <c r="V81"/>
  <c r="V76"/>
  <c r="V74"/>
  <c r="V70"/>
  <c r="V69"/>
  <c r="V66"/>
  <c r="V65"/>
  <c r="V60"/>
  <c r="V58"/>
  <c r="V54"/>
  <c r="V53"/>
  <c r="V50"/>
  <c r="V49"/>
  <c r="V44"/>
  <c r="V42"/>
  <c r="V38"/>
  <c r="V37"/>
  <c r="V34"/>
  <c r="V33"/>
  <c r="V28"/>
  <c r="V26"/>
  <c r="V22"/>
  <c r="V21"/>
  <c r="V18"/>
  <c r="V17"/>
  <c r="V12"/>
  <c r="V10"/>
  <c r="V6"/>
  <c r="V5"/>
  <c r="X97"/>
  <c r="X93"/>
  <c r="X89"/>
  <c r="X85"/>
  <c r="X81"/>
  <c r="X77"/>
  <c r="X73"/>
  <c r="X69"/>
  <c r="X65"/>
  <c r="X61"/>
  <c r="X57"/>
  <c r="X53"/>
  <c r="X49"/>
  <c r="X45"/>
  <c r="X41"/>
  <c r="X37"/>
  <c r="X33"/>
  <c r="X29"/>
  <c r="X25"/>
  <c r="X21"/>
  <c r="X17"/>
  <c r="X13"/>
  <c r="X9"/>
  <c r="W3"/>
  <c r="X96"/>
  <c r="V96"/>
  <c r="X95"/>
  <c r="V95"/>
  <c r="X94"/>
  <c r="V94"/>
  <c r="V93"/>
  <c r="X92"/>
  <c r="X91"/>
  <c r="V91"/>
  <c r="X90"/>
  <c r="V89"/>
  <c r="X88"/>
  <c r="V88"/>
  <c r="X87"/>
  <c r="V87"/>
  <c r="X86"/>
  <c r="X84"/>
  <c r="V84"/>
  <c r="X83"/>
  <c r="V83"/>
  <c r="X82"/>
  <c r="X80"/>
  <c r="V80"/>
  <c r="X79"/>
  <c r="V79"/>
  <c r="X78"/>
  <c r="V78"/>
  <c r="V77"/>
  <c r="X76"/>
  <c r="X75"/>
  <c r="V75"/>
  <c r="X74"/>
  <c r="V73"/>
  <c r="X72"/>
  <c r="V72"/>
  <c r="X71"/>
  <c r="V71"/>
  <c r="X70"/>
  <c r="X68"/>
  <c r="V68"/>
  <c r="X67"/>
  <c r="V67"/>
  <c r="X66"/>
  <c r="X64"/>
  <c r="V64"/>
  <c r="X63"/>
  <c r="V63"/>
  <c r="X62"/>
  <c r="V62"/>
  <c r="V61"/>
  <c r="X60"/>
  <c r="X59"/>
  <c r="V59"/>
  <c r="X58"/>
  <c r="V57"/>
  <c r="X56"/>
  <c r="V56"/>
  <c r="X55"/>
  <c r="V55"/>
  <c r="X54"/>
  <c r="X52"/>
  <c r="V52"/>
  <c r="X51"/>
  <c r="V51"/>
  <c r="X50"/>
  <c r="X48"/>
  <c r="V48"/>
  <c r="X47"/>
  <c r="V47"/>
  <c r="X46"/>
  <c r="V46"/>
  <c r="V45"/>
  <c r="X44"/>
  <c r="X43"/>
  <c r="V43"/>
  <c r="X42"/>
  <c r="V41"/>
  <c r="X40"/>
  <c r="V40"/>
  <c r="X39"/>
  <c r="V39"/>
  <c r="X38"/>
  <c r="X36"/>
  <c r="V36"/>
  <c r="X35"/>
  <c r="V35"/>
  <c r="X34"/>
  <c r="X32"/>
  <c r="V32"/>
  <c r="X31"/>
  <c r="V31"/>
  <c r="X30"/>
  <c r="V30"/>
  <c r="V29"/>
  <c r="X28"/>
  <c r="X27"/>
  <c r="V27"/>
  <c r="X26"/>
  <c r="V25"/>
  <c r="X24"/>
  <c r="V24"/>
  <c r="X23"/>
  <c r="V23"/>
  <c r="X22"/>
  <c r="X20"/>
  <c r="V20"/>
  <c r="X19"/>
  <c r="V19"/>
  <c r="X18"/>
  <c r="X16"/>
  <c r="V16"/>
  <c r="X15"/>
  <c r="V15"/>
  <c r="X14"/>
  <c r="V14"/>
  <c r="V13"/>
  <c r="X12"/>
  <c r="X11"/>
  <c r="V11"/>
  <c r="X10"/>
  <c r="V9"/>
  <c r="X8"/>
  <c r="V8"/>
  <c r="X7"/>
  <c r="V7"/>
  <c r="X6"/>
  <c r="U3"/>
  <c r="Y512" i="5"/>
  <c r="Y510"/>
  <c r="Y506"/>
  <c r="Y502"/>
  <c r="Y496"/>
  <c r="Y494"/>
  <c r="Y490"/>
  <c r="Y486"/>
  <c r="Y480"/>
  <c r="Y478"/>
  <c r="Y474"/>
  <c r="Y470"/>
  <c r="Y464"/>
  <c r="Y462"/>
  <c r="Y458"/>
  <c r="Y454"/>
  <c r="Y448"/>
  <c r="Y446"/>
  <c r="Y442"/>
  <c r="Y438"/>
  <c r="Y432"/>
  <c r="Y430"/>
  <c r="Y426"/>
  <c r="Y422"/>
  <c r="Y416"/>
  <c r="Y414"/>
  <c r="Y410"/>
  <c r="Y406"/>
  <c r="Y400"/>
  <c r="Y398"/>
  <c r="Y394"/>
  <c r="Y390"/>
  <c r="Y384"/>
  <c r="Y382"/>
  <c r="Y378"/>
  <c r="Y374"/>
  <c r="Y368"/>
  <c r="Y366"/>
  <c r="Y362"/>
  <c r="Y358"/>
  <c r="Y352"/>
  <c r="Y350"/>
  <c r="Y346"/>
  <c r="Y342"/>
  <c r="Y336"/>
  <c r="Y334"/>
  <c r="Y330"/>
  <c r="Y326"/>
  <c r="Y320"/>
  <c r="Y318"/>
  <c r="Y314"/>
  <c r="Y310"/>
  <c r="Y304"/>
  <c r="Y302"/>
  <c r="Y298"/>
  <c r="Y294"/>
  <c r="Y288"/>
  <c r="Y286"/>
  <c r="Y282"/>
  <c r="Y278"/>
  <c r="Y272"/>
  <c r="Y270"/>
  <c r="Y266"/>
  <c r="Y262"/>
  <c r="Y256"/>
  <c r="Y254"/>
  <c r="Y250"/>
  <c r="Y246"/>
  <c r="Y240"/>
  <c r="Y238"/>
  <c r="Y234"/>
  <c r="Y230"/>
  <c r="Y224"/>
  <c r="Y222"/>
  <c r="Y218"/>
  <c r="Y214"/>
  <c r="Y208"/>
  <c r="Y206"/>
  <c r="Y202"/>
  <c r="Y198"/>
  <c r="Y192"/>
  <c r="Y190"/>
  <c r="Y186"/>
  <c r="Y185"/>
  <c r="Y182"/>
  <c r="Y176"/>
  <c r="Y174"/>
  <c r="Y170"/>
  <c r="Y169"/>
  <c r="Y166"/>
  <c r="Y160"/>
  <c r="Y158"/>
  <c r="Y154"/>
  <c r="Y153"/>
  <c r="Y150"/>
  <c r="Y144"/>
  <c r="Y142"/>
  <c r="Y138"/>
  <c r="Y137"/>
  <c r="Y134"/>
  <c r="Y128"/>
  <c r="Y126"/>
  <c r="Y122"/>
  <c r="Y121"/>
  <c r="Y118"/>
  <c r="Y112"/>
  <c r="Y110"/>
  <c r="Y106"/>
  <c r="Y105"/>
  <c r="Y102"/>
  <c r="Y96"/>
  <c r="Y94"/>
  <c r="Y90"/>
  <c r="Y89"/>
  <c r="Y86"/>
  <c r="Y80"/>
  <c r="Y78"/>
  <c r="Y74"/>
  <c r="Y73"/>
  <c r="Y70"/>
  <c r="Y64"/>
  <c r="Y62"/>
  <c r="Y58"/>
  <c r="Y57"/>
  <c r="Y54"/>
  <c r="Y48"/>
  <c r="Y46"/>
  <c r="Y42"/>
  <c r="Y41"/>
  <c r="Y38"/>
  <c r="Y32"/>
  <c r="Y30"/>
  <c r="Y26"/>
  <c r="Y25"/>
  <c r="Y22"/>
  <c r="Y16"/>
  <c r="Y14"/>
  <c r="Y10"/>
  <c r="Y9"/>
  <c r="Y6"/>
  <c r="W514"/>
  <c r="W510"/>
  <c r="W506"/>
  <c r="W502"/>
  <c r="W498"/>
  <c r="W494"/>
  <c r="W490"/>
  <c r="W486"/>
  <c r="W482"/>
  <c r="W478"/>
  <c r="W474"/>
  <c r="W470"/>
  <c r="W466"/>
  <c r="W462"/>
  <c r="W458"/>
  <c r="W454"/>
  <c r="W450"/>
  <c r="W446"/>
  <c r="W442"/>
  <c r="W438"/>
  <c r="W434"/>
  <c r="W430"/>
  <c r="W426"/>
  <c r="W422"/>
  <c r="W418"/>
  <c r="W414"/>
  <c r="W410"/>
  <c r="W406"/>
  <c r="W402"/>
  <c r="W398"/>
  <c r="W394"/>
  <c r="W390"/>
  <c r="W386"/>
  <c r="W382"/>
  <c r="W378"/>
  <c r="W374"/>
  <c r="W370"/>
  <c r="W366"/>
  <c r="W362"/>
  <c r="W358"/>
  <c r="W354"/>
  <c r="W350"/>
  <c r="W346"/>
  <c r="W342"/>
  <c r="W338"/>
  <c r="W334"/>
  <c r="W330"/>
  <c r="W326"/>
  <c r="W322"/>
  <c r="W318"/>
  <c r="W314"/>
  <c r="W310"/>
  <c r="W306"/>
  <c r="W302"/>
  <c r="W298"/>
  <c r="W294"/>
  <c r="W290"/>
  <c r="W286"/>
  <c r="W282"/>
  <c r="W278"/>
  <c r="W274"/>
  <c r="W270"/>
  <c r="W266"/>
  <c r="W262"/>
  <c r="W258"/>
  <c r="W254"/>
  <c r="W250"/>
  <c r="W246"/>
  <c r="W242"/>
  <c r="W238"/>
  <c r="W234"/>
  <c r="W230"/>
  <c r="W226"/>
  <c r="W222"/>
  <c r="W218"/>
  <c r="W214"/>
  <c r="W210"/>
  <c r="W206"/>
  <c r="W202"/>
  <c r="W198"/>
  <c r="W194"/>
  <c r="W190"/>
  <c r="W186"/>
  <c r="W182"/>
  <c r="W178"/>
  <c r="W174"/>
  <c r="W170"/>
  <c r="W166"/>
  <c r="W162"/>
  <c r="W158"/>
  <c r="W154"/>
  <c r="W150"/>
  <c r="W146"/>
  <c r="W142"/>
  <c r="W138"/>
  <c r="W134"/>
  <c r="W130"/>
  <c r="W126"/>
  <c r="W122"/>
  <c r="W118"/>
  <c r="W114"/>
  <c r="W110"/>
  <c r="W106"/>
  <c r="W102"/>
  <c r="W98"/>
  <c r="W94"/>
  <c r="W90"/>
  <c r="W86"/>
  <c r="W82"/>
  <c r="W78"/>
  <c r="W74"/>
  <c r="W70"/>
  <c r="W66"/>
  <c r="W62"/>
  <c r="W58"/>
  <c r="W54"/>
  <c r="W50"/>
  <c r="W46"/>
  <c r="W42"/>
  <c r="W38"/>
  <c r="W34"/>
  <c r="W30"/>
  <c r="W26"/>
  <c r="W22"/>
  <c r="W18"/>
  <c r="W14"/>
  <c r="W10"/>
  <c r="V3"/>
  <c r="Y515"/>
  <c r="W515"/>
  <c r="Y514"/>
  <c r="Y513"/>
  <c r="W513"/>
  <c r="W512"/>
  <c r="Y511"/>
  <c r="W511"/>
  <c r="Y509"/>
  <c r="W509"/>
  <c r="Y508"/>
  <c r="W508"/>
  <c r="Y507"/>
  <c r="W507"/>
  <c r="Y505"/>
  <c r="W505"/>
  <c r="Y504"/>
  <c r="W504"/>
  <c r="Y503"/>
  <c r="W503"/>
  <c r="Y501"/>
  <c r="W501"/>
  <c r="Y500"/>
  <c r="W500"/>
  <c r="Y499"/>
  <c r="W499"/>
  <c r="Y498"/>
  <c r="Y497"/>
  <c r="W497"/>
  <c r="W496"/>
  <c r="Y495"/>
  <c r="W495"/>
  <c r="Y493"/>
  <c r="W493"/>
  <c r="Y492"/>
  <c r="W492"/>
  <c r="Y491"/>
  <c r="W491"/>
  <c r="Y489"/>
  <c r="W489"/>
  <c r="Y488"/>
  <c r="W488"/>
  <c r="Y487"/>
  <c r="W487"/>
  <c r="Y485"/>
  <c r="W485"/>
  <c r="Y484"/>
  <c r="W484"/>
  <c r="Y483"/>
  <c r="W483"/>
  <c r="Y482"/>
  <c r="Y481"/>
  <c r="W481"/>
  <c r="W480"/>
  <c r="Y479"/>
  <c r="W479"/>
  <c r="Y477"/>
  <c r="W477"/>
  <c r="Y476"/>
  <c r="W476"/>
  <c r="Y475"/>
  <c r="W475"/>
  <c r="Y473"/>
  <c r="W473"/>
  <c r="Y472"/>
  <c r="W472"/>
  <c r="Y471"/>
  <c r="W471"/>
  <c r="Y469"/>
  <c r="W469"/>
  <c r="Y468"/>
  <c r="W468"/>
  <c r="Y467"/>
  <c r="W467"/>
  <c r="Y466"/>
  <c r="Y465"/>
  <c r="W465"/>
  <c r="W464"/>
  <c r="Y463"/>
  <c r="W463"/>
  <c r="Y461"/>
  <c r="W461"/>
  <c r="Y460"/>
  <c r="W460"/>
  <c r="Y459"/>
  <c r="W459"/>
  <c r="Y457"/>
  <c r="W457"/>
  <c r="Y456"/>
  <c r="W456"/>
  <c r="Y455"/>
  <c r="W455"/>
  <c r="Y453"/>
  <c r="W453"/>
  <c r="Y452"/>
  <c r="W452"/>
  <c r="Y451"/>
  <c r="W451"/>
  <c r="Y450"/>
  <c r="Y449"/>
  <c r="W449"/>
  <c r="W448"/>
  <c r="Y447"/>
  <c r="W447"/>
  <c r="Y445"/>
  <c r="W445"/>
  <c r="Y444"/>
  <c r="W444"/>
  <c r="Y443"/>
  <c r="W443"/>
  <c r="Y441"/>
  <c r="W441"/>
  <c r="Y440"/>
  <c r="W440"/>
  <c r="Y439"/>
  <c r="W439"/>
  <c r="Y437"/>
  <c r="W437"/>
  <c r="Y436"/>
  <c r="W436"/>
  <c r="Y435"/>
  <c r="W435"/>
  <c r="Y434"/>
  <c r="Y433"/>
  <c r="W433"/>
  <c r="W432"/>
  <c r="Y431"/>
  <c r="W431"/>
  <c r="Y429"/>
  <c r="W429"/>
  <c r="Y428"/>
  <c r="W428"/>
  <c r="Y427"/>
  <c r="W427"/>
  <c r="Y425"/>
  <c r="W425"/>
  <c r="Y424"/>
  <c r="W424"/>
  <c r="Y423"/>
  <c r="W423"/>
  <c r="Y421"/>
  <c r="W421"/>
  <c r="Y420"/>
  <c r="W420"/>
  <c r="Y419"/>
  <c r="W419"/>
  <c r="Y418"/>
  <c r="Y417"/>
  <c r="W417"/>
  <c r="W416"/>
  <c r="Y415"/>
  <c r="W415"/>
  <c r="Y413"/>
  <c r="W413"/>
  <c r="Y412"/>
  <c r="W412"/>
  <c r="Y411"/>
  <c r="W411"/>
  <c r="Y409"/>
  <c r="W409"/>
  <c r="Y408"/>
  <c r="W408"/>
  <c r="Y407"/>
  <c r="W407"/>
  <c r="Y405"/>
  <c r="W405"/>
  <c r="Y404"/>
  <c r="W404"/>
  <c r="Y403"/>
  <c r="W403"/>
  <c r="Y402"/>
  <c r="Y401"/>
  <c r="W401"/>
  <c r="W400"/>
  <c r="Y399"/>
  <c r="W399"/>
  <c r="Y397"/>
  <c r="W397"/>
  <c r="Y396"/>
  <c r="W396"/>
  <c r="Y395"/>
  <c r="W395"/>
  <c r="Y393"/>
  <c r="W393"/>
  <c r="Y392"/>
  <c r="W392"/>
  <c r="Y391"/>
  <c r="W391"/>
  <c r="Y389"/>
  <c r="W389"/>
  <c r="Y388"/>
  <c r="W388"/>
  <c r="Y387"/>
  <c r="W387"/>
  <c r="Y386"/>
  <c r="Y385"/>
  <c r="W385"/>
  <c r="W384"/>
  <c r="Y383"/>
  <c r="W383"/>
  <c r="Y381"/>
  <c r="W381"/>
  <c r="Y380"/>
  <c r="W380"/>
  <c r="Y379"/>
  <c r="W379"/>
  <c r="Y377"/>
  <c r="W377"/>
  <c r="Y376"/>
  <c r="W376"/>
  <c r="Y375"/>
  <c r="W375"/>
  <c r="Y373"/>
  <c r="W373"/>
  <c r="Y372"/>
  <c r="W372"/>
  <c r="Y371"/>
  <c r="W371"/>
  <c r="Y370"/>
  <c r="Y369"/>
  <c r="W369"/>
  <c r="W368"/>
  <c r="Y367"/>
  <c r="W367"/>
  <c r="Y365"/>
  <c r="W365"/>
  <c r="Y364"/>
  <c r="W364"/>
  <c r="Y363"/>
  <c r="W363"/>
  <c r="Y361"/>
  <c r="W361"/>
  <c r="Y360"/>
  <c r="W360"/>
  <c r="Y359"/>
  <c r="W359"/>
  <c r="Y357"/>
  <c r="W357"/>
  <c r="Y356"/>
  <c r="W356"/>
  <c r="Y355"/>
  <c r="W355"/>
  <c r="Y354"/>
  <c r="Y353"/>
  <c r="W353"/>
  <c r="W352"/>
  <c r="Y351"/>
  <c r="W351"/>
  <c r="Y349"/>
  <c r="W349"/>
  <c r="Y348"/>
  <c r="W348"/>
  <c r="Y347"/>
  <c r="W347"/>
  <c r="Y345"/>
  <c r="W345"/>
  <c r="Y344"/>
  <c r="W344"/>
  <c r="Y343"/>
  <c r="W343"/>
  <c r="Y341"/>
  <c r="W341"/>
  <c r="Y340"/>
  <c r="W340"/>
  <c r="Y339"/>
  <c r="W339"/>
  <c r="Y338"/>
  <c r="Y337"/>
  <c r="W337"/>
  <c r="W336"/>
  <c r="Y335"/>
  <c r="W335"/>
  <c r="Y333"/>
  <c r="W333"/>
  <c r="Y332"/>
  <c r="W332"/>
  <c r="Y331"/>
  <c r="W331"/>
  <c r="Y329"/>
  <c r="W329"/>
  <c r="Y328"/>
  <c r="W328"/>
  <c r="Y327"/>
  <c r="W327"/>
  <c r="Y325"/>
  <c r="W325"/>
  <c r="Y324"/>
  <c r="W324"/>
  <c r="Y323"/>
  <c r="W323"/>
  <c r="Y322"/>
  <c r="Y321"/>
  <c r="W321"/>
  <c r="W320"/>
  <c r="Y319"/>
  <c r="W319"/>
  <c r="Y317"/>
  <c r="W317"/>
  <c r="Y316"/>
  <c r="W316"/>
  <c r="Y315"/>
  <c r="W315"/>
  <c r="Y313"/>
  <c r="W313"/>
  <c r="Y312"/>
  <c r="W312"/>
  <c r="Y311"/>
  <c r="W311"/>
  <c r="Y309"/>
  <c r="W309"/>
  <c r="Y308"/>
  <c r="W308"/>
  <c r="Y307"/>
  <c r="W307"/>
  <c r="Y306"/>
  <c r="Y305"/>
  <c r="W305"/>
  <c r="W304"/>
  <c r="Y303"/>
  <c r="W303"/>
  <c r="Y301"/>
  <c r="W301"/>
  <c r="Y300"/>
  <c r="W300"/>
  <c r="Y299"/>
  <c r="W299"/>
  <c r="Y297"/>
  <c r="W297"/>
  <c r="Y296"/>
  <c r="W296"/>
  <c r="Y295"/>
  <c r="W295"/>
  <c r="Y293"/>
  <c r="W293"/>
  <c r="Y292"/>
  <c r="W292"/>
  <c r="Y291"/>
  <c r="W291"/>
  <c r="Y290"/>
  <c r="Y289"/>
  <c r="W289"/>
  <c r="W288"/>
  <c r="Y287"/>
  <c r="W287"/>
  <c r="Y285"/>
  <c r="W285"/>
  <c r="Y284"/>
  <c r="W284"/>
  <c r="Y283"/>
  <c r="W283"/>
  <c r="Y281"/>
  <c r="W281"/>
  <c r="Y280"/>
  <c r="W280"/>
  <c r="Y279"/>
  <c r="W279"/>
  <c r="Y277"/>
  <c r="W277"/>
  <c r="Y276"/>
  <c r="W276"/>
  <c r="Y275"/>
  <c r="W275"/>
  <c r="Y274"/>
  <c r="Y273"/>
  <c r="W273"/>
  <c r="W272"/>
  <c r="Y271"/>
  <c r="W271"/>
  <c r="Y269"/>
  <c r="W269"/>
  <c r="Y268"/>
  <c r="W268"/>
  <c r="Y267"/>
  <c r="W267"/>
  <c r="Y265"/>
  <c r="W265"/>
  <c r="Y264"/>
  <c r="W264"/>
  <c r="Y263"/>
  <c r="W263"/>
  <c r="Y261"/>
  <c r="W261"/>
  <c r="Y260"/>
  <c r="W260"/>
  <c r="Y259"/>
  <c r="W259"/>
  <c r="Y258"/>
  <c r="Y257"/>
  <c r="W257"/>
  <c r="W256"/>
  <c r="Y255"/>
  <c r="W255"/>
  <c r="Y253"/>
  <c r="W253"/>
  <c r="Y252"/>
  <c r="W252"/>
  <c r="Y251"/>
  <c r="W251"/>
  <c r="Y249"/>
  <c r="W249"/>
  <c r="Y248"/>
  <c r="W248"/>
  <c r="Y247"/>
  <c r="W247"/>
  <c r="Y245"/>
  <c r="W245"/>
  <c r="Y244"/>
  <c r="W244"/>
  <c r="Y243"/>
  <c r="W243"/>
  <c r="Y242"/>
  <c r="Y241"/>
  <c r="W241"/>
  <c r="W240"/>
  <c r="Y239"/>
  <c r="W239"/>
  <c r="Y237"/>
  <c r="W237"/>
  <c r="Y236"/>
  <c r="W236"/>
  <c r="Y235"/>
  <c r="W235"/>
  <c r="Y233"/>
  <c r="W233"/>
  <c r="Y232"/>
  <c r="W232"/>
  <c r="Y231"/>
  <c r="W231"/>
  <c r="Y229"/>
  <c r="W229"/>
  <c r="Y228"/>
  <c r="W228"/>
  <c r="Y227"/>
  <c r="W227"/>
  <c r="Y226"/>
  <c r="Y225"/>
  <c r="W225"/>
  <c r="W224"/>
  <c r="Y223"/>
  <c r="W223"/>
  <c r="Y221"/>
  <c r="W221"/>
  <c r="Y220"/>
  <c r="W220"/>
  <c r="Y219"/>
  <c r="W219"/>
  <c r="Y217"/>
  <c r="W217"/>
  <c r="Y216"/>
  <c r="W216"/>
  <c r="Y215"/>
  <c r="W215"/>
  <c r="Y213"/>
  <c r="W213"/>
  <c r="Y212"/>
  <c r="W212"/>
  <c r="Y211"/>
  <c r="W211"/>
  <c r="Y210"/>
  <c r="Y209"/>
  <c r="W209"/>
  <c r="W208"/>
  <c r="Y207"/>
  <c r="W207"/>
  <c r="Y205"/>
  <c r="W205"/>
  <c r="Y204"/>
  <c r="W204"/>
  <c r="Y203"/>
  <c r="W203"/>
  <c r="Y201"/>
  <c r="W201"/>
  <c r="Y200"/>
  <c r="W200"/>
  <c r="Y199"/>
  <c r="W199"/>
  <c r="Y197"/>
  <c r="W197"/>
  <c r="Y196"/>
  <c r="W196"/>
  <c r="Y195"/>
  <c r="W195"/>
  <c r="Y194"/>
  <c r="Y193"/>
  <c r="W193"/>
  <c r="W192"/>
  <c r="Y191"/>
  <c r="W191"/>
  <c r="Y189"/>
  <c r="W189"/>
  <c r="Y188"/>
  <c r="W188"/>
  <c r="Y187"/>
  <c r="W187"/>
  <c r="W185"/>
  <c r="Y184"/>
  <c r="W184"/>
  <c r="Y183"/>
  <c r="W183"/>
  <c r="Y181"/>
  <c r="W181"/>
  <c r="Y180"/>
  <c r="W180"/>
  <c r="Y179"/>
  <c r="W179"/>
  <c r="Y178"/>
  <c r="Y177"/>
  <c r="W177"/>
  <c r="W176"/>
  <c r="Y175"/>
  <c r="W175"/>
  <c r="Y173"/>
  <c r="W173"/>
  <c r="Y172"/>
  <c r="W172"/>
  <c r="Y171"/>
  <c r="W171"/>
  <c r="W169"/>
  <c r="Y168"/>
  <c r="W168"/>
  <c r="Y167"/>
  <c r="W167"/>
  <c r="Y165"/>
  <c r="W165"/>
  <c r="Y164"/>
  <c r="W164"/>
  <c r="Y163"/>
  <c r="W163"/>
  <c r="Y162"/>
  <c r="Y161"/>
  <c r="W161"/>
  <c r="W160"/>
  <c r="Y159"/>
  <c r="W159"/>
  <c r="Y157"/>
  <c r="W157"/>
  <c r="Y156"/>
  <c r="W156"/>
  <c r="Y155"/>
  <c r="W155"/>
  <c r="W153"/>
  <c r="Y152"/>
  <c r="W152"/>
  <c r="Y151"/>
  <c r="W151"/>
  <c r="Y149"/>
  <c r="W149"/>
  <c r="Y148"/>
  <c r="W148"/>
  <c r="Y147"/>
  <c r="W147"/>
  <c r="Y146"/>
  <c r="Y145"/>
  <c r="W145"/>
  <c r="W144"/>
  <c r="Y143"/>
  <c r="W143"/>
  <c r="Y141"/>
  <c r="W141"/>
  <c r="Y140"/>
  <c r="W140"/>
  <c r="Y139"/>
  <c r="W139"/>
  <c r="W137"/>
  <c r="Y136"/>
  <c r="W136"/>
  <c r="Y135"/>
  <c r="W135"/>
  <c r="Y133"/>
  <c r="W133"/>
  <c r="Y132"/>
  <c r="W132"/>
  <c r="Y131"/>
  <c r="W131"/>
  <c r="Y130"/>
  <c r="Y129"/>
  <c r="W129"/>
  <c r="W128"/>
  <c r="Y127"/>
  <c r="W127"/>
  <c r="Y125"/>
  <c r="W125"/>
  <c r="Y124"/>
  <c r="W124"/>
  <c r="Y123"/>
  <c r="W123"/>
  <c r="W121"/>
  <c r="Y120"/>
  <c r="W120"/>
  <c r="Y119"/>
  <c r="W119"/>
  <c r="Y117"/>
  <c r="W117"/>
  <c r="Y116"/>
  <c r="W116"/>
  <c r="Y115"/>
  <c r="W115"/>
  <c r="Y114"/>
  <c r="Y113"/>
  <c r="W113"/>
  <c r="W112"/>
  <c r="Y111"/>
  <c r="W111"/>
  <c r="Y109"/>
  <c r="W109"/>
  <c r="Y108"/>
  <c r="W108"/>
  <c r="Y107"/>
  <c r="W107"/>
  <c r="W105"/>
  <c r="Y104"/>
  <c r="W104"/>
  <c r="Y103"/>
  <c r="W103"/>
  <c r="Y101"/>
  <c r="W101"/>
  <c r="Y100"/>
  <c r="W100"/>
  <c r="Y99"/>
  <c r="W99"/>
  <c r="Y98"/>
  <c r="Y97"/>
  <c r="W97"/>
  <c r="W96"/>
  <c r="Y95"/>
  <c r="W95"/>
  <c r="Y93"/>
  <c r="W93"/>
  <c r="Y92"/>
  <c r="W92"/>
  <c r="Y91"/>
  <c r="W91"/>
  <c r="W89"/>
  <c r="Y88"/>
  <c r="W88"/>
  <c r="Y87"/>
  <c r="W87"/>
  <c r="Y85"/>
  <c r="W85"/>
  <c r="Y84"/>
  <c r="W84"/>
  <c r="Y83"/>
  <c r="W83"/>
  <c r="Y82"/>
  <c r="Y81"/>
  <c r="W81"/>
  <c r="W80"/>
  <c r="Y79"/>
  <c r="W79"/>
  <c r="Y77"/>
  <c r="W77"/>
  <c r="Y76"/>
  <c r="W76"/>
  <c r="Y75"/>
  <c r="W75"/>
  <c r="W73"/>
  <c r="Y72"/>
  <c r="W72"/>
  <c r="Y71"/>
  <c r="W71"/>
  <c r="Y69"/>
  <c r="W69"/>
  <c r="Y68"/>
  <c r="W68"/>
  <c r="Y67"/>
  <c r="W67"/>
  <c r="Y66"/>
  <c r="Y65"/>
  <c r="W65"/>
  <c r="W64"/>
  <c r="Y63"/>
  <c r="W63"/>
  <c r="Y61"/>
  <c r="W61"/>
  <c r="Y60"/>
  <c r="W60"/>
  <c r="Y59"/>
  <c r="W59"/>
  <c r="W57"/>
  <c r="Y56"/>
  <c r="W56"/>
  <c r="Y55"/>
  <c r="W55"/>
  <c r="Y53"/>
  <c r="W53"/>
  <c r="Y52"/>
  <c r="W52"/>
  <c r="Y51"/>
  <c r="W51"/>
  <c r="Y50"/>
  <c r="Y49"/>
  <c r="W49"/>
  <c r="W48"/>
  <c r="Y47"/>
  <c r="W47"/>
  <c r="Y45"/>
  <c r="W45"/>
  <c r="Y44"/>
  <c r="W44"/>
  <c r="Y43"/>
  <c r="W43"/>
  <c r="W41"/>
  <c r="Y40"/>
  <c r="W40"/>
  <c r="Y39"/>
  <c r="W39"/>
  <c r="Y37"/>
  <c r="W37"/>
  <c r="Y36"/>
  <c r="W36"/>
  <c r="Y35"/>
  <c r="W35"/>
  <c r="Y34"/>
  <c r="Y33"/>
  <c r="W33"/>
  <c r="W32"/>
  <c r="Y31"/>
  <c r="W31"/>
  <c r="Y29"/>
  <c r="W29"/>
  <c r="Y28"/>
  <c r="W28"/>
  <c r="Y27"/>
  <c r="W27"/>
  <c r="W25"/>
  <c r="Y24"/>
  <c r="W24"/>
  <c r="Y23"/>
  <c r="W23"/>
  <c r="Y21"/>
  <c r="W21"/>
  <c r="Y20"/>
  <c r="W20"/>
  <c r="Y19"/>
  <c r="W19"/>
  <c r="Y18"/>
  <c r="Y17"/>
  <c r="W17"/>
  <c r="W16"/>
  <c r="Y15"/>
  <c r="W15"/>
  <c r="Y13"/>
  <c r="W13"/>
  <c r="Y12"/>
  <c r="W12"/>
  <c r="Y11"/>
  <c r="W11"/>
  <c r="W9"/>
  <c r="Y8"/>
  <c r="W8"/>
  <c r="Y7"/>
  <c r="W7"/>
  <c r="Y5"/>
  <c r="W5"/>
  <c r="X3"/>
  <c r="N270" i="1" l="1"/>
  <c r="O227"/>
  <c r="O226"/>
  <c r="O230"/>
  <c r="O223"/>
  <c r="O222"/>
  <c r="K229"/>
  <c r="K225"/>
  <c r="K221"/>
  <c r="O219"/>
  <c r="O218"/>
  <c r="J270"/>
  <c r="K217"/>
  <c r="K228"/>
  <c r="K224"/>
  <c r="K220"/>
  <c r="X5" i="7"/>
  <c r="X3" s="1"/>
  <c r="V3"/>
  <c r="Y3" i="5"/>
  <c r="W6"/>
  <c r="W3" s="1"/>
  <c r="T97" i="7"/>
  <c r="T93"/>
  <c r="T92"/>
  <c r="T89"/>
  <c r="T88"/>
  <c r="T81"/>
  <c r="T80"/>
  <c r="T77"/>
  <c r="T73"/>
  <c r="T72"/>
  <c r="T69"/>
  <c r="T68"/>
  <c r="T61"/>
  <c r="T60"/>
  <c r="T57"/>
  <c r="T49"/>
  <c r="T48"/>
  <c r="T45"/>
  <c r="T41"/>
  <c r="T40"/>
  <c r="T37"/>
  <c r="T36"/>
  <c r="T29"/>
  <c r="T28"/>
  <c r="T25"/>
  <c r="T17"/>
  <c r="T16"/>
  <c r="T13"/>
  <c r="T9"/>
  <c r="T8"/>
  <c r="S3"/>
  <c r="R97"/>
  <c r="R93"/>
  <c r="R89"/>
  <c r="R85"/>
  <c r="R81"/>
  <c r="R80"/>
  <c r="R76"/>
  <c r="R73"/>
  <c r="R71"/>
  <c r="R69"/>
  <c r="R65"/>
  <c r="R64"/>
  <c r="R60"/>
  <c r="R57"/>
  <c r="R55"/>
  <c r="R53"/>
  <c r="R49"/>
  <c r="R48"/>
  <c r="R44"/>
  <c r="R41"/>
  <c r="R39"/>
  <c r="R37"/>
  <c r="R33"/>
  <c r="R32"/>
  <c r="R28"/>
  <c r="R25"/>
  <c r="R23"/>
  <c r="R21"/>
  <c r="R17"/>
  <c r="R16"/>
  <c r="R12"/>
  <c r="R9"/>
  <c r="R7"/>
  <c r="R5"/>
  <c r="R82"/>
  <c r="R78"/>
  <c r="R74"/>
  <c r="R70"/>
  <c r="R66"/>
  <c r="R62"/>
  <c r="R58"/>
  <c r="R54"/>
  <c r="R50"/>
  <c r="R46"/>
  <c r="R42"/>
  <c r="R38"/>
  <c r="R34"/>
  <c r="R30"/>
  <c r="R26"/>
  <c r="R22"/>
  <c r="R18"/>
  <c r="R14"/>
  <c r="R10"/>
  <c r="R6"/>
  <c r="T96"/>
  <c r="R96"/>
  <c r="T95"/>
  <c r="R95"/>
  <c r="T94"/>
  <c r="R94"/>
  <c r="R92"/>
  <c r="T91"/>
  <c r="R91"/>
  <c r="T90"/>
  <c r="R90"/>
  <c r="R88"/>
  <c r="T87"/>
  <c r="R87"/>
  <c r="T86"/>
  <c r="R86"/>
  <c r="T85"/>
  <c r="T84"/>
  <c r="R84"/>
  <c r="T83"/>
  <c r="R83"/>
  <c r="T82"/>
  <c r="T79"/>
  <c r="R79"/>
  <c r="T78"/>
  <c r="R77"/>
  <c r="T76"/>
  <c r="T75"/>
  <c r="R75"/>
  <c r="T74"/>
  <c r="R72"/>
  <c r="T71"/>
  <c r="T70"/>
  <c r="R68"/>
  <c r="T67"/>
  <c r="R67"/>
  <c r="T66"/>
  <c r="T65"/>
  <c r="T64"/>
  <c r="T63"/>
  <c r="R63"/>
  <c r="T62"/>
  <c r="R61"/>
  <c r="T59"/>
  <c r="R59"/>
  <c r="T58"/>
  <c r="T56"/>
  <c r="R56"/>
  <c r="T55"/>
  <c r="T54"/>
  <c r="T53"/>
  <c r="T52"/>
  <c r="R52"/>
  <c r="T51"/>
  <c r="R51"/>
  <c r="T50"/>
  <c r="T47"/>
  <c r="R47"/>
  <c r="T46"/>
  <c r="R45"/>
  <c r="T44"/>
  <c r="T43"/>
  <c r="R43"/>
  <c r="T42"/>
  <c r="R40"/>
  <c r="T39"/>
  <c r="T38"/>
  <c r="R36"/>
  <c r="T35"/>
  <c r="R35"/>
  <c r="T34"/>
  <c r="T33"/>
  <c r="T32"/>
  <c r="T31"/>
  <c r="R31"/>
  <c r="T30"/>
  <c r="R29"/>
  <c r="T27"/>
  <c r="R27"/>
  <c r="T26"/>
  <c r="T24"/>
  <c r="R24"/>
  <c r="T23"/>
  <c r="T22"/>
  <c r="T21"/>
  <c r="T20"/>
  <c r="R20"/>
  <c r="T19"/>
  <c r="R19"/>
  <c r="T18"/>
  <c r="T15"/>
  <c r="R15"/>
  <c r="T14"/>
  <c r="R13"/>
  <c r="T12"/>
  <c r="T11"/>
  <c r="R11"/>
  <c r="T10"/>
  <c r="R8"/>
  <c r="T7"/>
  <c r="T6"/>
  <c r="S53" i="5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T3"/>
  <c r="U9"/>
  <c r="U10"/>
  <c r="U14"/>
  <c r="U17"/>
  <c r="U21"/>
  <c r="U25"/>
  <c r="U30"/>
  <c r="U33"/>
  <c r="U34"/>
  <c r="U37"/>
  <c r="U41"/>
  <c r="U45"/>
  <c r="U46"/>
  <c r="U49"/>
  <c r="U53"/>
  <c r="U57"/>
  <c r="U61"/>
  <c r="U62"/>
  <c r="U70"/>
  <c r="U73"/>
  <c r="U77"/>
  <c r="U82"/>
  <c r="U90"/>
  <c r="U93"/>
  <c r="U97"/>
  <c r="U101"/>
  <c r="U102"/>
  <c r="U106"/>
  <c r="U109"/>
  <c r="U113"/>
  <c r="U114"/>
  <c r="U117"/>
  <c r="U121"/>
  <c r="U122"/>
  <c r="U125"/>
  <c r="U129"/>
  <c r="U130"/>
  <c r="U133"/>
  <c r="U137"/>
  <c r="U138"/>
  <c r="U142"/>
  <c r="U145"/>
  <c r="U149"/>
  <c r="U153"/>
  <c r="U158"/>
  <c r="U161"/>
  <c r="U162"/>
  <c r="U165"/>
  <c r="U169"/>
  <c r="U173"/>
  <c r="U174"/>
  <c r="U177"/>
  <c r="U181"/>
  <c r="U185"/>
  <c r="U189"/>
  <c r="U190"/>
  <c r="U198"/>
  <c r="U201"/>
  <c r="U205"/>
  <c r="U210"/>
  <c r="U218"/>
  <c r="U221"/>
  <c r="U225"/>
  <c r="U229"/>
  <c r="U230"/>
  <c r="U234"/>
  <c r="U237"/>
  <c r="U241"/>
  <c r="U242"/>
  <c r="U245"/>
  <c r="U249"/>
  <c r="U250"/>
  <c r="U253"/>
  <c r="U257"/>
  <c r="U258"/>
  <c r="U261"/>
  <c r="U265"/>
  <c r="U266"/>
  <c r="U270"/>
  <c r="U273"/>
  <c r="U277"/>
  <c r="U281"/>
  <c r="U286"/>
  <c r="U289"/>
  <c r="U290"/>
  <c r="U292"/>
  <c r="U293"/>
  <c r="U297"/>
  <c r="U301"/>
  <c r="U302"/>
  <c r="U304"/>
  <c r="U305"/>
  <c r="U309"/>
  <c r="U313"/>
  <c r="U316"/>
  <c r="U317"/>
  <c r="U318"/>
  <c r="U324"/>
  <c r="U326"/>
  <c r="U329"/>
  <c r="U333"/>
  <c r="U336"/>
  <c r="U338"/>
  <c r="U346"/>
  <c r="U348"/>
  <c r="U349"/>
  <c r="U353"/>
  <c r="U356"/>
  <c r="U357"/>
  <c r="U358"/>
  <c r="U362"/>
  <c r="U365"/>
  <c r="U368"/>
  <c r="U369"/>
  <c r="U370"/>
  <c r="U373"/>
  <c r="U377"/>
  <c r="U378"/>
  <c r="U380"/>
  <c r="U381"/>
  <c r="U385"/>
  <c r="U386"/>
  <c r="U388"/>
  <c r="U389"/>
  <c r="U393"/>
  <c r="U394"/>
  <c r="U398"/>
  <c r="U400"/>
  <c r="U401"/>
  <c r="U405"/>
  <c r="U409"/>
  <c r="U412"/>
  <c r="U414"/>
  <c r="U417"/>
  <c r="U418"/>
  <c r="U420"/>
  <c r="U421"/>
  <c r="U425"/>
  <c r="U429"/>
  <c r="U430"/>
  <c r="U432"/>
  <c r="U433"/>
  <c r="U434"/>
  <c r="U437"/>
  <c r="U438"/>
  <c r="U441"/>
  <c r="U444"/>
  <c r="U445"/>
  <c r="U449"/>
  <c r="U450"/>
  <c r="U452"/>
  <c r="U453"/>
  <c r="U458"/>
  <c r="U462"/>
  <c r="U464"/>
  <c r="U465"/>
  <c r="U466"/>
  <c r="U469"/>
  <c r="U470"/>
  <c r="U473"/>
  <c r="U476"/>
  <c r="U477"/>
  <c r="U481"/>
  <c r="U482"/>
  <c r="U484"/>
  <c r="U485"/>
  <c r="U490"/>
  <c r="U494"/>
  <c r="U496"/>
  <c r="U497"/>
  <c r="U498"/>
  <c r="U501"/>
  <c r="U502"/>
  <c r="U505"/>
  <c r="U508"/>
  <c r="U509"/>
  <c r="U513"/>
  <c r="U514"/>
  <c r="U512"/>
  <c r="U511"/>
  <c r="U507"/>
  <c r="U500"/>
  <c r="U499"/>
  <c r="U488"/>
  <c r="U487"/>
  <c r="U486"/>
  <c r="U480"/>
  <c r="U479"/>
  <c r="U475"/>
  <c r="U468"/>
  <c r="U467"/>
  <c r="U456"/>
  <c r="U455"/>
  <c r="U454"/>
  <c r="U448"/>
  <c r="U447"/>
  <c r="U443"/>
  <c r="U436"/>
  <c r="U435"/>
  <c r="U427"/>
  <c r="U424"/>
  <c r="U423"/>
  <c r="U419"/>
  <c r="U416"/>
  <c r="U415"/>
  <c r="U408"/>
  <c r="U406"/>
  <c r="U404"/>
  <c r="U395"/>
  <c r="U392"/>
  <c r="U391"/>
  <c r="U387"/>
  <c r="U384"/>
  <c r="U383"/>
  <c r="U376"/>
  <c r="U374"/>
  <c r="U372"/>
  <c r="U363"/>
  <c r="U360"/>
  <c r="U359"/>
  <c r="U355"/>
  <c r="U352"/>
  <c r="U351"/>
  <c r="U344"/>
  <c r="U342"/>
  <c r="U340"/>
  <c r="U331"/>
  <c r="U328"/>
  <c r="U327"/>
  <c r="U323"/>
  <c r="U320"/>
  <c r="U319"/>
  <c r="U312"/>
  <c r="U310"/>
  <c r="U308"/>
  <c r="U299"/>
  <c r="U296"/>
  <c r="U295"/>
  <c r="U291"/>
  <c r="U288"/>
  <c r="U287"/>
  <c r="U284"/>
  <c r="U280"/>
  <c r="U278"/>
  <c r="U276"/>
  <c r="U272"/>
  <c r="U267"/>
  <c r="U264"/>
  <c r="U263"/>
  <c r="U260"/>
  <c r="U259"/>
  <c r="U256"/>
  <c r="U255"/>
  <c r="U252"/>
  <c r="U248"/>
  <c r="U246"/>
  <c r="U244"/>
  <c r="U240"/>
  <c r="U235"/>
  <c r="U232"/>
  <c r="U231"/>
  <c r="U228"/>
  <c r="U227"/>
  <c r="U224"/>
  <c r="U223"/>
  <c r="U220"/>
  <c r="U216"/>
  <c r="U214"/>
  <c r="U212"/>
  <c r="U208"/>
  <c r="U203"/>
  <c r="U200"/>
  <c r="U199"/>
  <c r="U196"/>
  <c r="U195"/>
  <c r="U192"/>
  <c r="U191"/>
  <c r="U188"/>
  <c r="U184"/>
  <c r="U182"/>
  <c r="U180"/>
  <c r="U176"/>
  <c r="U171"/>
  <c r="U168"/>
  <c r="U167"/>
  <c r="U164"/>
  <c r="U163"/>
  <c r="U160"/>
  <c r="U159"/>
  <c r="U156"/>
  <c r="U152"/>
  <c r="U150"/>
  <c r="U148"/>
  <c r="U144"/>
  <c r="U139"/>
  <c r="U136"/>
  <c r="U135"/>
  <c r="U132"/>
  <c r="U131"/>
  <c r="U128"/>
  <c r="U127"/>
  <c r="U124"/>
  <c r="U120"/>
  <c r="U118"/>
  <c r="U116"/>
  <c r="U112"/>
  <c r="U107"/>
  <c r="U104"/>
  <c r="U103"/>
  <c r="U100"/>
  <c r="U99"/>
  <c r="U96"/>
  <c r="U95"/>
  <c r="U92"/>
  <c r="U88"/>
  <c r="U86"/>
  <c r="U84"/>
  <c r="U80"/>
  <c r="U75"/>
  <c r="U72"/>
  <c r="U71"/>
  <c r="U68"/>
  <c r="U67"/>
  <c r="U64"/>
  <c r="U63"/>
  <c r="U60"/>
  <c r="U56"/>
  <c r="U54"/>
  <c r="U52"/>
  <c r="U48"/>
  <c r="U43"/>
  <c r="U40"/>
  <c r="U39"/>
  <c r="U36"/>
  <c r="U35"/>
  <c r="U32"/>
  <c r="U31"/>
  <c r="U28"/>
  <c r="U24"/>
  <c r="U22"/>
  <c r="U20"/>
  <c r="U16"/>
  <c r="U11"/>
  <c r="U8"/>
  <c r="U7"/>
  <c r="U515"/>
  <c r="U504"/>
  <c r="U492"/>
  <c r="U491"/>
  <c r="U483"/>
  <c r="U472"/>
  <c r="U460"/>
  <c r="U459"/>
  <c r="U451"/>
  <c r="U440"/>
  <c r="U428"/>
  <c r="U407"/>
  <c r="U403"/>
  <c r="U402"/>
  <c r="U396"/>
  <c r="U375"/>
  <c r="U371"/>
  <c r="U364"/>
  <c r="U354"/>
  <c r="U343"/>
  <c r="U339"/>
  <c r="U332"/>
  <c r="U322"/>
  <c r="U311"/>
  <c r="U307"/>
  <c r="U306"/>
  <c r="U300"/>
  <c r="U279"/>
  <c r="U275"/>
  <c r="U274"/>
  <c r="U268"/>
  <c r="U247"/>
  <c r="U243"/>
  <c r="U236"/>
  <c r="U226"/>
  <c r="U215"/>
  <c r="U211"/>
  <c r="U204"/>
  <c r="U194"/>
  <c r="U183"/>
  <c r="U179"/>
  <c r="U178"/>
  <c r="U172"/>
  <c r="U151"/>
  <c r="U147"/>
  <c r="U146"/>
  <c r="U140"/>
  <c r="U119"/>
  <c r="U115"/>
  <c r="U108"/>
  <c r="U98"/>
  <c r="U87"/>
  <c r="U83"/>
  <c r="U76"/>
  <c r="U66"/>
  <c r="U55"/>
  <c r="U51"/>
  <c r="U50"/>
  <c r="U44"/>
  <c r="U23"/>
  <c r="U19"/>
  <c r="U18"/>
  <c r="U12"/>
  <c r="S515"/>
  <c r="S514"/>
  <c r="S511"/>
  <c r="S510"/>
  <c r="S507"/>
  <c r="S506"/>
  <c r="S503"/>
  <c r="S502"/>
  <c r="S499"/>
  <c r="S498"/>
  <c r="S495"/>
  <c r="S494"/>
  <c r="S491"/>
  <c r="S490"/>
  <c r="S487"/>
  <c r="S486"/>
  <c r="S483"/>
  <c r="S482"/>
  <c r="S479"/>
  <c r="S478"/>
  <c r="S475"/>
  <c r="S474"/>
  <c r="S471"/>
  <c r="S470"/>
  <c r="S467"/>
  <c r="S466"/>
  <c r="S463"/>
  <c r="S462"/>
  <c r="S459"/>
  <c r="S458"/>
  <c r="S455"/>
  <c r="S454"/>
  <c r="S451"/>
  <c r="S450"/>
  <c r="S447"/>
  <c r="S446"/>
  <c r="S443"/>
  <c r="S442"/>
  <c r="S439"/>
  <c r="S438"/>
  <c r="S435"/>
  <c r="S434"/>
  <c r="S431"/>
  <c r="S427"/>
  <c r="S423"/>
  <c r="S419"/>
  <c r="S415"/>
  <c r="S411"/>
  <c r="S407"/>
  <c r="S403"/>
  <c r="S399"/>
  <c r="S395"/>
  <c r="S391"/>
  <c r="S387"/>
  <c r="S383"/>
  <c r="S379"/>
  <c r="S375"/>
  <c r="S371"/>
  <c r="S367"/>
  <c r="S363"/>
  <c r="S359"/>
  <c r="S355"/>
  <c r="S351"/>
  <c r="S347"/>
  <c r="S343"/>
  <c r="S339"/>
  <c r="S335"/>
  <c r="S331"/>
  <c r="S327"/>
  <c r="S323"/>
  <c r="S319"/>
  <c r="S315"/>
  <c r="S311"/>
  <c r="S307"/>
  <c r="S303"/>
  <c r="S299"/>
  <c r="S295"/>
  <c r="S291"/>
  <c r="S287"/>
  <c r="S283"/>
  <c r="S279"/>
  <c r="S275"/>
  <c r="S271"/>
  <c r="S267"/>
  <c r="S263"/>
  <c r="S259"/>
  <c r="S255"/>
  <c r="S251"/>
  <c r="S247"/>
  <c r="S243"/>
  <c r="S239"/>
  <c r="S235"/>
  <c r="S231"/>
  <c r="S227"/>
  <c r="S223"/>
  <c r="S219"/>
  <c r="S215"/>
  <c r="S211"/>
  <c r="S207"/>
  <c r="S203"/>
  <c r="S199"/>
  <c r="S195"/>
  <c r="S191"/>
  <c r="S187"/>
  <c r="S183"/>
  <c r="S179"/>
  <c r="S175"/>
  <c r="S171"/>
  <c r="S167"/>
  <c r="S163"/>
  <c r="S159"/>
  <c r="S155"/>
  <c r="S151"/>
  <c r="S147"/>
  <c r="S143"/>
  <c r="S139"/>
  <c r="S135"/>
  <c r="S131"/>
  <c r="S127"/>
  <c r="S123"/>
  <c r="S119"/>
  <c r="S115"/>
  <c r="S111"/>
  <c r="S107"/>
  <c r="S103"/>
  <c r="S99"/>
  <c r="S95"/>
  <c r="S91"/>
  <c r="S87"/>
  <c r="S83"/>
  <c r="S79"/>
  <c r="S75"/>
  <c r="S71"/>
  <c r="S67"/>
  <c r="S63"/>
  <c r="S59"/>
  <c r="S55"/>
  <c r="R3"/>
  <c r="S513"/>
  <c r="S512"/>
  <c r="U510"/>
  <c r="S509"/>
  <c r="S508"/>
  <c r="U506"/>
  <c r="S505"/>
  <c r="S504"/>
  <c r="U503"/>
  <c r="S501"/>
  <c r="S500"/>
  <c r="S497"/>
  <c r="S496"/>
  <c r="U495"/>
  <c r="U493"/>
  <c r="S493"/>
  <c r="S492"/>
  <c r="U489"/>
  <c r="S489"/>
  <c r="S488"/>
  <c r="S485"/>
  <c r="S484"/>
  <c r="S481"/>
  <c r="S480"/>
  <c r="U478"/>
  <c r="S477"/>
  <c r="S476"/>
  <c r="U474"/>
  <c r="S473"/>
  <c r="S472"/>
  <c r="U471"/>
  <c r="S469"/>
  <c r="S468"/>
  <c r="S465"/>
  <c r="S464"/>
  <c r="U463"/>
  <c r="U461"/>
  <c r="S461"/>
  <c r="S460"/>
  <c r="U457"/>
  <c r="S457"/>
  <c r="S456"/>
  <c r="S453"/>
  <c r="S452"/>
  <c r="S449"/>
  <c r="S448"/>
  <c r="U446"/>
  <c r="S445"/>
  <c r="S444"/>
  <c r="U442"/>
  <c r="S441"/>
  <c r="S440"/>
  <c r="U439"/>
  <c r="S437"/>
  <c r="S436"/>
  <c r="S433"/>
  <c r="S432"/>
  <c r="U431"/>
  <c r="S430"/>
  <c r="S429"/>
  <c r="S428"/>
  <c r="U426"/>
  <c r="S426"/>
  <c r="S425"/>
  <c r="S424"/>
  <c r="U422"/>
  <c r="S422"/>
  <c r="S421"/>
  <c r="S420"/>
  <c r="S418"/>
  <c r="S417"/>
  <c r="S416"/>
  <c r="S414"/>
  <c r="U413"/>
  <c r="S413"/>
  <c r="S412"/>
  <c r="U411"/>
  <c r="U410"/>
  <c r="S410"/>
  <c r="S409"/>
  <c r="S408"/>
  <c r="S406"/>
  <c r="S405"/>
  <c r="S404"/>
  <c r="S402"/>
  <c r="S401"/>
  <c r="S400"/>
  <c r="U399"/>
  <c r="S398"/>
  <c r="U397"/>
  <c r="S397"/>
  <c r="S396"/>
  <c r="S394"/>
  <c r="S393"/>
  <c r="S392"/>
  <c r="U390"/>
  <c r="S390"/>
  <c r="S389"/>
  <c r="S388"/>
  <c r="S386"/>
  <c r="S385"/>
  <c r="S384"/>
  <c r="U382"/>
  <c r="S382"/>
  <c r="S381"/>
  <c r="S380"/>
  <c r="U379"/>
  <c r="S378"/>
  <c r="S377"/>
  <c r="S376"/>
  <c r="S374"/>
  <c r="S373"/>
  <c r="S372"/>
  <c r="S370"/>
  <c r="S369"/>
  <c r="S368"/>
  <c r="U367"/>
  <c r="U366"/>
  <c r="S366"/>
  <c r="S365"/>
  <c r="S364"/>
  <c r="S362"/>
  <c r="U361"/>
  <c r="S361"/>
  <c r="S360"/>
  <c r="S358"/>
  <c r="S357"/>
  <c r="S356"/>
  <c r="S354"/>
  <c r="S353"/>
  <c r="S352"/>
  <c r="U350"/>
  <c r="S350"/>
  <c r="S349"/>
  <c r="S348"/>
  <c r="U347"/>
  <c r="S346"/>
  <c r="U345"/>
  <c r="S345"/>
  <c r="S344"/>
  <c r="S342"/>
  <c r="U341"/>
  <c r="S341"/>
  <c r="S340"/>
  <c r="S338"/>
  <c r="U337"/>
  <c r="S337"/>
  <c r="S336"/>
  <c r="U335"/>
  <c r="U334"/>
  <c r="S334"/>
  <c r="S333"/>
  <c r="S332"/>
  <c r="U330"/>
  <c r="S330"/>
  <c r="S329"/>
  <c r="S328"/>
  <c r="S326"/>
  <c r="U325"/>
  <c r="S325"/>
  <c r="S324"/>
  <c r="S322"/>
  <c r="U321"/>
  <c r="S321"/>
  <c r="S320"/>
  <c r="S318"/>
  <c r="S317"/>
  <c r="S316"/>
  <c r="U315"/>
  <c r="U314"/>
  <c r="S314"/>
  <c r="S313"/>
  <c r="S312"/>
  <c r="S310"/>
  <c r="S309"/>
  <c r="S308"/>
  <c r="S306"/>
  <c r="S305"/>
  <c r="S304"/>
  <c r="U303"/>
  <c r="S302"/>
  <c r="S301"/>
  <c r="S300"/>
  <c r="U298"/>
  <c r="S298"/>
  <c r="S297"/>
  <c r="S296"/>
  <c r="U294"/>
  <c r="S294"/>
  <c r="S293"/>
  <c r="S292"/>
  <c r="S290"/>
  <c r="S289"/>
  <c r="S288"/>
  <c r="S286"/>
  <c r="U285"/>
  <c r="S285"/>
  <c r="S284"/>
  <c r="U283"/>
  <c r="U282"/>
  <c r="S282"/>
  <c r="S281"/>
  <c r="S280"/>
  <c r="S278"/>
  <c r="S277"/>
  <c r="S276"/>
  <c r="S274"/>
  <c r="S273"/>
  <c r="S272"/>
  <c r="U271"/>
  <c r="S270"/>
  <c r="U269"/>
  <c r="S269"/>
  <c r="S268"/>
  <c r="S266"/>
  <c r="S265"/>
  <c r="S264"/>
  <c r="U262"/>
  <c r="S262"/>
  <c r="S261"/>
  <c r="S260"/>
  <c r="S258"/>
  <c r="S257"/>
  <c r="S256"/>
  <c r="U254"/>
  <c r="S254"/>
  <c r="S253"/>
  <c r="S252"/>
  <c r="U251"/>
  <c r="S250"/>
  <c r="S249"/>
  <c r="S248"/>
  <c r="S246"/>
  <c r="S245"/>
  <c r="S244"/>
  <c r="S242"/>
  <c r="S241"/>
  <c r="S240"/>
  <c r="U239"/>
  <c r="U238"/>
  <c r="S238"/>
  <c r="S237"/>
  <c r="S236"/>
  <c r="S234"/>
  <c r="U233"/>
  <c r="S233"/>
  <c r="S232"/>
  <c r="S230"/>
  <c r="S229"/>
  <c r="S228"/>
  <c r="S226"/>
  <c r="S225"/>
  <c r="S224"/>
  <c r="U222"/>
  <c r="S222"/>
  <c r="S221"/>
  <c r="S220"/>
  <c r="U219"/>
  <c r="S218"/>
  <c r="U217"/>
  <c r="S217"/>
  <c r="S216"/>
  <c r="S214"/>
  <c r="U213"/>
  <c r="S213"/>
  <c r="S212"/>
  <c r="S210"/>
  <c r="U209"/>
  <c r="S209"/>
  <c r="S208"/>
  <c r="U207"/>
  <c r="U206"/>
  <c r="S206"/>
  <c r="S205"/>
  <c r="S204"/>
  <c r="U202"/>
  <c r="S202"/>
  <c r="S201"/>
  <c r="S200"/>
  <c r="S198"/>
  <c r="U197"/>
  <c r="S197"/>
  <c r="S196"/>
  <c r="S194"/>
  <c r="U193"/>
  <c r="S193"/>
  <c r="S192"/>
  <c r="S190"/>
  <c r="S189"/>
  <c r="S188"/>
  <c r="U187"/>
  <c r="U186"/>
  <c r="S186"/>
  <c r="S185"/>
  <c r="S184"/>
  <c r="S182"/>
  <c r="S181"/>
  <c r="S180"/>
  <c r="S178"/>
  <c r="S177"/>
  <c r="S176"/>
  <c r="U175"/>
  <c r="S174"/>
  <c r="S173"/>
  <c r="S172"/>
  <c r="U170"/>
  <c r="S170"/>
  <c r="S169"/>
  <c r="S168"/>
  <c r="U166"/>
  <c r="S166"/>
  <c r="S165"/>
  <c r="S164"/>
  <c r="S162"/>
  <c r="S161"/>
  <c r="S160"/>
  <c r="S158"/>
  <c r="U157"/>
  <c r="S157"/>
  <c r="S156"/>
  <c r="U155"/>
  <c r="U154"/>
  <c r="S154"/>
  <c r="S153"/>
  <c r="S152"/>
  <c r="S150"/>
  <c r="S149"/>
  <c r="S148"/>
  <c r="S146"/>
  <c r="S145"/>
  <c r="S144"/>
  <c r="U143"/>
  <c r="S142"/>
  <c r="U141"/>
  <c r="S141"/>
  <c r="S140"/>
  <c r="S138"/>
  <c r="S137"/>
  <c r="S136"/>
  <c r="U134"/>
  <c r="S134"/>
  <c r="S133"/>
  <c r="S132"/>
  <c r="S130"/>
  <c r="S129"/>
  <c r="S128"/>
  <c r="U126"/>
  <c r="S126"/>
  <c r="S125"/>
  <c r="S124"/>
  <c r="U123"/>
  <c r="S122"/>
  <c r="S121"/>
  <c r="S120"/>
  <c r="S118"/>
  <c r="S117"/>
  <c r="S116"/>
  <c r="S114"/>
  <c r="S113"/>
  <c r="S112"/>
  <c r="U111"/>
  <c r="U110"/>
  <c r="S110"/>
  <c r="S109"/>
  <c r="S108"/>
  <c r="S106"/>
  <c r="U105"/>
  <c r="S105"/>
  <c r="S104"/>
  <c r="S102"/>
  <c r="S101"/>
  <c r="S100"/>
  <c r="S98"/>
  <c r="S97"/>
  <c r="S96"/>
  <c r="U94"/>
  <c r="S94"/>
  <c r="S93"/>
  <c r="S92"/>
  <c r="U91"/>
  <c r="S90"/>
  <c r="U89"/>
  <c r="S89"/>
  <c r="S88"/>
  <c r="S86"/>
  <c r="U85"/>
  <c r="S85"/>
  <c r="S84"/>
  <c r="S82"/>
  <c r="U81"/>
  <c r="S81"/>
  <c r="S80"/>
  <c r="U79"/>
  <c r="U78"/>
  <c r="S78"/>
  <c r="S77"/>
  <c r="S76"/>
  <c r="U74"/>
  <c r="S74"/>
  <c r="S73"/>
  <c r="S72"/>
  <c r="S70"/>
  <c r="U69"/>
  <c r="S69"/>
  <c r="S68"/>
  <c r="S66"/>
  <c r="U65"/>
  <c r="S65"/>
  <c r="S64"/>
  <c r="S62"/>
  <c r="S61"/>
  <c r="S60"/>
  <c r="U59"/>
  <c r="U58"/>
  <c r="S58"/>
  <c r="S57"/>
  <c r="S56"/>
  <c r="S54"/>
  <c r="U47"/>
  <c r="U42"/>
  <c r="U38"/>
  <c r="U29"/>
  <c r="U27"/>
  <c r="U26"/>
  <c r="U15"/>
  <c r="U13"/>
  <c r="U6"/>
  <c r="K61" i="1" l="1"/>
  <c r="O61"/>
  <c r="T5" i="7"/>
  <c r="T3" s="1"/>
  <c r="R3"/>
  <c r="Q3"/>
  <c r="U5" i="5"/>
  <c r="U3" s="1"/>
  <c r="S3"/>
  <c r="P93" i="7" l="1"/>
  <c r="P92"/>
  <c r="P85"/>
  <c r="P84"/>
  <c r="P77"/>
  <c r="P76"/>
  <c r="P69"/>
  <c r="P68"/>
  <c r="P61"/>
  <c r="P60"/>
  <c r="P53"/>
  <c r="P52"/>
  <c r="P45"/>
  <c r="P44"/>
  <c r="P37"/>
  <c r="P36"/>
  <c r="P29"/>
  <c r="P28"/>
  <c r="P21"/>
  <c r="P20"/>
  <c r="P13"/>
  <c r="P12"/>
  <c r="O3"/>
  <c r="N97"/>
  <c r="N94"/>
  <c r="N93"/>
  <c r="N90"/>
  <c r="N89"/>
  <c r="N86"/>
  <c r="N85"/>
  <c r="N82"/>
  <c r="N81"/>
  <c r="N78"/>
  <c r="N77"/>
  <c r="N74"/>
  <c r="N73"/>
  <c r="N70"/>
  <c r="N69"/>
  <c r="N66"/>
  <c r="N65"/>
  <c r="N62"/>
  <c r="N61"/>
  <c r="N58"/>
  <c r="N57"/>
  <c r="N54"/>
  <c r="N53"/>
  <c r="N50"/>
  <c r="N49"/>
  <c r="N46"/>
  <c r="N45"/>
  <c r="N42"/>
  <c r="N41"/>
  <c r="N38"/>
  <c r="N37"/>
  <c r="N34"/>
  <c r="N33"/>
  <c r="N30"/>
  <c r="N29"/>
  <c r="N26"/>
  <c r="N25"/>
  <c r="N22"/>
  <c r="N21"/>
  <c r="N18"/>
  <c r="N17"/>
  <c r="N14"/>
  <c r="N13"/>
  <c r="N10"/>
  <c r="N9"/>
  <c r="N6"/>
  <c r="N5"/>
  <c r="P97"/>
  <c r="P96"/>
  <c r="N96"/>
  <c r="P95"/>
  <c r="N95"/>
  <c r="P94"/>
  <c r="N92"/>
  <c r="P91"/>
  <c r="N91"/>
  <c r="P90"/>
  <c r="P89"/>
  <c r="P88"/>
  <c r="N88"/>
  <c r="P87"/>
  <c r="N87"/>
  <c r="P86"/>
  <c r="N84"/>
  <c r="P83"/>
  <c r="N83"/>
  <c r="P82"/>
  <c r="P81"/>
  <c r="P80"/>
  <c r="N80"/>
  <c r="P79"/>
  <c r="N79"/>
  <c r="P78"/>
  <c r="N76"/>
  <c r="P75"/>
  <c r="N75"/>
  <c r="P74"/>
  <c r="P73"/>
  <c r="P72"/>
  <c r="N72"/>
  <c r="P71"/>
  <c r="N71"/>
  <c r="P70"/>
  <c r="N68"/>
  <c r="P67"/>
  <c r="N67"/>
  <c r="P66"/>
  <c r="P65"/>
  <c r="P64"/>
  <c r="N64"/>
  <c r="P63"/>
  <c r="N63"/>
  <c r="P62"/>
  <c r="N60"/>
  <c r="P59"/>
  <c r="N59"/>
  <c r="P58"/>
  <c r="P57"/>
  <c r="P56"/>
  <c r="N56"/>
  <c r="P55"/>
  <c r="N55"/>
  <c r="P54"/>
  <c r="N52"/>
  <c r="P51"/>
  <c r="N51"/>
  <c r="P50"/>
  <c r="P49"/>
  <c r="P48"/>
  <c r="N48"/>
  <c r="P47"/>
  <c r="N47"/>
  <c r="P46"/>
  <c r="N44"/>
  <c r="P43"/>
  <c r="N43"/>
  <c r="P42"/>
  <c r="P41"/>
  <c r="P40"/>
  <c r="N40"/>
  <c r="P39"/>
  <c r="N39"/>
  <c r="P38"/>
  <c r="N36"/>
  <c r="P35"/>
  <c r="N35"/>
  <c r="P34"/>
  <c r="P33"/>
  <c r="P32"/>
  <c r="N32"/>
  <c r="P31"/>
  <c r="N31"/>
  <c r="P30"/>
  <c r="N28"/>
  <c r="P27"/>
  <c r="N27"/>
  <c r="P26"/>
  <c r="P25"/>
  <c r="P24"/>
  <c r="N24"/>
  <c r="P23"/>
  <c r="N23"/>
  <c r="P22"/>
  <c r="N20"/>
  <c r="P19"/>
  <c r="N19"/>
  <c r="P18"/>
  <c r="P17"/>
  <c r="P16"/>
  <c r="N16"/>
  <c r="P15"/>
  <c r="N15"/>
  <c r="P14"/>
  <c r="N12"/>
  <c r="P11"/>
  <c r="N11"/>
  <c r="P10"/>
  <c r="P9"/>
  <c r="P8"/>
  <c r="N8"/>
  <c r="P7"/>
  <c r="N7"/>
  <c r="P6"/>
  <c r="Q515" i="5"/>
  <c r="Q511"/>
  <c r="Q507"/>
  <c r="Q503"/>
  <c r="Q499"/>
  <c r="Q495"/>
  <c r="Q491"/>
  <c r="Q487"/>
  <c r="Q483"/>
  <c r="Q479"/>
  <c r="Q475"/>
  <c r="Q471"/>
  <c r="Q467"/>
  <c r="Q463"/>
  <c r="Q459"/>
  <c r="Q455"/>
  <c r="Q451"/>
  <c r="Q447"/>
  <c r="Q443"/>
  <c r="Q439"/>
  <c r="Q435"/>
  <c r="Q431"/>
  <c r="Q427"/>
  <c r="Q423"/>
  <c r="Q419"/>
  <c r="Q415"/>
  <c r="Q411"/>
  <c r="Q407"/>
  <c r="Q403"/>
  <c r="Q399"/>
  <c r="Q395"/>
  <c r="Q391"/>
  <c r="Q387"/>
  <c r="Q383"/>
  <c r="Q379"/>
  <c r="Q375"/>
  <c r="Q371"/>
  <c r="Q367"/>
  <c r="Q363"/>
  <c r="Q359"/>
  <c r="Q355"/>
  <c r="Q351"/>
  <c r="Q347"/>
  <c r="Q343"/>
  <c r="Q339"/>
  <c r="Q335"/>
  <c r="Q331"/>
  <c r="Q327"/>
  <c r="Q323"/>
  <c r="Q319"/>
  <c r="Q315"/>
  <c r="Q311"/>
  <c r="Q307"/>
  <c r="Q303"/>
  <c r="Q299"/>
  <c r="Q295"/>
  <c r="Q291"/>
  <c r="Q287"/>
  <c r="Q283"/>
  <c r="Q279"/>
  <c r="Q275"/>
  <c r="Q271"/>
  <c r="Q267"/>
  <c r="Q263"/>
  <c r="Q259"/>
  <c r="Q255"/>
  <c r="Q251"/>
  <c r="Q247"/>
  <c r="Q243"/>
  <c r="Q239"/>
  <c r="Q235"/>
  <c r="Q231"/>
  <c r="Q227"/>
  <c r="Q223"/>
  <c r="Q219"/>
  <c r="Q215"/>
  <c r="Q211"/>
  <c r="Q207"/>
  <c r="Q203"/>
  <c r="Q199"/>
  <c r="Q195"/>
  <c r="Q191"/>
  <c r="Q187"/>
  <c r="Q183"/>
  <c r="Q179"/>
  <c r="Q175"/>
  <c r="Q171"/>
  <c r="Q167"/>
  <c r="Q163"/>
  <c r="Q159"/>
  <c r="Q155"/>
  <c r="Q151"/>
  <c r="Q147"/>
  <c r="Q143"/>
  <c r="Q139"/>
  <c r="Q135"/>
  <c r="Q131"/>
  <c r="Q127"/>
  <c r="Q123"/>
  <c r="Q119"/>
  <c r="Q115"/>
  <c r="Q111"/>
  <c r="Q107"/>
  <c r="Q103"/>
  <c r="Q99"/>
  <c r="Q95"/>
  <c r="Q91"/>
  <c r="Q87"/>
  <c r="Q83"/>
  <c r="Q79"/>
  <c r="Q75"/>
  <c r="Q71"/>
  <c r="Q67"/>
  <c r="Q63"/>
  <c r="Q59"/>
  <c r="Q55"/>
  <c r="Q51"/>
  <c r="Q47"/>
  <c r="Q43"/>
  <c r="Q39"/>
  <c r="Q35"/>
  <c r="Q31"/>
  <c r="Q27"/>
  <c r="Q23"/>
  <c r="Q19"/>
  <c r="Q15"/>
  <c r="Q11"/>
  <c r="Q7"/>
  <c r="P3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N3"/>
  <c r="O515"/>
  <c r="Q514"/>
  <c r="O514"/>
  <c r="Q513"/>
  <c r="O513"/>
  <c r="Q512"/>
  <c r="O512"/>
  <c r="O511"/>
  <c r="Q510"/>
  <c r="O510"/>
  <c r="Q509"/>
  <c r="O509"/>
  <c r="Q508"/>
  <c r="O508"/>
  <c r="O507"/>
  <c r="Q506"/>
  <c r="O506"/>
  <c r="Q505"/>
  <c r="O505"/>
  <c r="Q504"/>
  <c r="O504"/>
  <c r="O503"/>
  <c r="Q502"/>
  <c r="O502"/>
  <c r="Q501"/>
  <c r="O501"/>
  <c r="Q500"/>
  <c r="O500"/>
  <c r="O499"/>
  <c r="Q498"/>
  <c r="O498"/>
  <c r="Q497"/>
  <c r="O497"/>
  <c r="Q496"/>
  <c r="O496"/>
  <c r="O495"/>
  <c r="Q494"/>
  <c r="O494"/>
  <c r="Q493"/>
  <c r="O493"/>
  <c r="Q492"/>
  <c r="O492"/>
  <c r="O491"/>
  <c r="Q490"/>
  <c r="O490"/>
  <c r="Q489"/>
  <c r="O489"/>
  <c r="Q488"/>
  <c r="O488"/>
  <c r="O487"/>
  <c r="Q486"/>
  <c r="O486"/>
  <c r="Q485"/>
  <c r="O485"/>
  <c r="Q484"/>
  <c r="O484"/>
  <c r="O483"/>
  <c r="Q482"/>
  <c r="O482"/>
  <c r="Q481"/>
  <c r="O481"/>
  <c r="Q480"/>
  <c r="O480"/>
  <c r="O479"/>
  <c r="Q478"/>
  <c r="O478"/>
  <c r="Q477"/>
  <c r="O477"/>
  <c r="Q476"/>
  <c r="O476"/>
  <c r="O475"/>
  <c r="Q474"/>
  <c r="O474"/>
  <c r="Q473"/>
  <c r="O473"/>
  <c r="Q472"/>
  <c r="O472"/>
  <c r="O471"/>
  <c r="Q470"/>
  <c r="O470"/>
  <c r="Q469"/>
  <c r="O469"/>
  <c r="Q468"/>
  <c r="O468"/>
  <c r="O467"/>
  <c r="Q466"/>
  <c r="O466"/>
  <c r="Q465"/>
  <c r="O465"/>
  <c r="Q464"/>
  <c r="O464"/>
  <c r="O463"/>
  <c r="Q462"/>
  <c r="O462"/>
  <c r="Q461"/>
  <c r="O461"/>
  <c r="Q460"/>
  <c r="O460"/>
  <c r="O459"/>
  <c r="Q458"/>
  <c r="O458"/>
  <c r="Q457"/>
  <c r="O457"/>
  <c r="Q456"/>
  <c r="O456"/>
  <c r="O455"/>
  <c r="Q454"/>
  <c r="O454"/>
  <c r="Q453"/>
  <c r="O453"/>
  <c r="Q452"/>
  <c r="O452"/>
  <c r="O451"/>
  <c r="Q450"/>
  <c r="O450"/>
  <c r="Q449"/>
  <c r="O449"/>
  <c r="Q448"/>
  <c r="O448"/>
  <c r="O447"/>
  <c r="Q446"/>
  <c r="O446"/>
  <c r="Q445"/>
  <c r="O445"/>
  <c r="Q444"/>
  <c r="O444"/>
  <c r="O443"/>
  <c r="Q442"/>
  <c r="O442"/>
  <c r="Q441"/>
  <c r="O441"/>
  <c r="Q440"/>
  <c r="O440"/>
  <c r="O439"/>
  <c r="Q438"/>
  <c r="O438"/>
  <c r="Q437"/>
  <c r="O437"/>
  <c r="Q436"/>
  <c r="O436"/>
  <c r="O435"/>
  <c r="Q434"/>
  <c r="O434"/>
  <c r="Q433"/>
  <c r="O433"/>
  <c r="Q432"/>
  <c r="O432"/>
  <c r="O431"/>
  <c r="Q430"/>
  <c r="O430"/>
  <c r="Q429"/>
  <c r="O429"/>
  <c r="Q428"/>
  <c r="O428"/>
  <c r="O427"/>
  <c r="Q426"/>
  <c r="O426"/>
  <c r="Q425"/>
  <c r="O425"/>
  <c r="Q424"/>
  <c r="O424"/>
  <c r="O423"/>
  <c r="Q422"/>
  <c r="O422"/>
  <c r="Q421"/>
  <c r="O421"/>
  <c r="Q420"/>
  <c r="O420"/>
  <c r="O419"/>
  <c r="Q418"/>
  <c r="O418"/>
  <c r="Q417"/>
  <c r="O417"/>
  <c r="Q416"/>
  <c r="O416"/>
  <c r="O415"/>
  <c r="Q414"/>
  <c r="O414"/>
  <c r="Q413"/>
  <c r="O413"/>
  <c r="Q412"/>
  <c r="O412"/>
  <c r="O411"/>
  <c r="Q410"/>
  <c r="O410"/>
  <c r="Q409"/>
  <c r="O409"/>
  <c r="Q408"/>
  <c r="O408"/>
  <c r="O407"/>
  <c r="Q406"/>
  <c r="O406"/>
  <c r="Q405"/>
  <c r="O405"/>
  <c r="Q404"/>
  <c r="O404"/>
  <c r="O403"/>
  <c r="Q402"/>
  <c r="O402"/>
  <c r="Q401"/>
  <c r="O401"/>
  <c r="Q400"/>
  <c r="O400"/>
  <c r="O399"/>
  <c r="Q398"/>
  <c r="O398"/>
  <c r="Q397"/>
  <c r="O397"/>
  <c r="Q396"/>
  <c r="O396"/>
  <c r="O395"/>
  <c r="Q394"/>
  <c r="O394"/>
  <c r="Q393"/>
  <c r="O393"/>
  <c r="Q392"/>
  <c r="O392"/>
  <c r="O391"/>
  <c r="Q390"/>
  <c r="O390"/>
  <c r="Q389"/>
  <c r="O389"/>
  <c r="Q388"/>
  <c r="O388"/>
  <c r="O387"/>
  <c r="Q386"/>
  <c r="O386"/>
  <c r="Q385"/>
  <c r="O385"/>
  <c r="Q384"/>
  <c r="O384"/>
  <c r="O383"/>
  <c r="Q382"/>
  <c r="O382"/>
  <c r="Q381"/>
  <c r="O381"/>
  <c r="Q380"/>
  <c r="O380"/>
  <c r="O379"/>
  <c r="Q378"/>
  <c r="O378"/>
  <c r="Q377"/>
  <c r="O377"/>
  <c r="Q376"/>
  <c r="O376"/>
  <c r="O375"/>
  <c r="Q374"/>
  <c r="O374"/>
  <c r="Q373"/>
  <c r="O373"/>
  <c r="Q372"/>
  <c r="O372"/>
  <c r="O371"/>
  <c r="Q370"/>
  <c r="O370"/>
  <c r="Q369"/>
  <c r="O369"/>
  <c r="Q368"/>
  <c r="O368"/>
  <c r="O367"/>
  <c r="Q366"/>
  <c r="O366"/>
  <c r="Q365"/>
  <c r="O365"/>
  <c r="Q364"/>
  <c r="O364"/>
  <c r="O363"/>
  <c r="Q362"/>
  <c r="O362"/>
  <c r="Q361"/>
  <c r="O361"/>
  <c r="Q360"/>
  <c r="O360"/>
  <c r="O359"/>
  <c r="Q358"/>
  <c r="O358"/>
  <c r="Q357"/>
  <c r="O357"/>
  <c r="Q356"/>
  <c r="O356"/>
  <c r="O355"/>
  <c r="Q354"/>
  <c r="O354"/>
  <c r="Q353"/>
  <c r="O353"/>
  <c r="Q352"/>
  <c r="O352"/>
  <c r="O351"/>
  <c r="Q350"/>
  <c r="O350"/>
  <c r="Q349"/>
  <c r="O349"/>
  <c r="Q348"/>
  <c r="O348"/>
  <c r="O347"/>
  <c r="Q346"/>
  <c r="O346"/>
  <c r="Q345"/>
  <c r="O345"/>
  <c r="Q344"/>
  <c r="O344"/>
  <c r="O343"/>
  <c r="Q342"/>
  <c r="O342"/>
  <c r="Q341"/>
  <c r="O341"/>
  <c r="Q340"/>
  <c r="O340"/>
  <c r="O339"/>
  <c r="Q338"/>
  <c r="O338"/>
  <c r="Q337"/>
  <c r="O337"/>
  <c r="Q336"/>
  <c r="O336"/>
  <c r="O335"/>
  <c r="Q334"/>
  <c r="O334"/>
  <c r="Q333"/>
  <c r="O333"/>
  <c r="Q332"/>
  <c r="O332"/>
  <c r="O331"/>
  <c r="Q330"/>
  <c r="O330"/>
  <c r="Q329"/>
  <c r="O329"/>
  <c r="Q328"/>
  <c r="O328"/>
  <c r="O327"/>
  <c r="Q326"/>
  <c r="O326"/>
  <c r="Q325"/>
  <c r="O325"/>
  <c r="Q324"/>
  <c r="O324"/>
  <c r="O323"/>
  <c r="Q322"/>
  <c r="O322"/>
  <c r="Q321"/>
  <c r="O321"/>
  <c r="Q320"/>
  <c r="O320"/>
  <c r="O319"/>
  <c r="Q318"/>
  <c r="O318"/>
  <c r="Q317"/>
  <c r="O317"/>
  <c r="Q316"/>
  <c r="O316"/>
  <c r="O315"/>
  <c r="Q314"/>
  <c r="O314"/>
  <c r="Q313"/>
  <c r="O313"/>
  <c r="Q312"/>
  <c r="O312"/>
  <c r="O311"/>
  <c r="Q310"/>
  <c r="O310"/>
  <c r="Q309"/>
  <c r="O309"/>
  <c r="Q308"/>
  <c r="O308"/>
  <c r="O307"/>
  <c r="Q306"/>
  <c r="O306"/>
  <c r="Q305"/>
  <c r="O305"/>
  <c r="Q304"/>
  <c r="O304"/>
  <c r="O303"/>
  <c r="Q302"/>
  <c r="O302"/>
  <c r="Q301"/>
  <c r="O301"/>
  <c r="Q300"/>
  <c r="O300"/>
  <c r="O299"/>
  <c r="Q298"/>
  <c r="O298"/>
  <c r="Q297"/>
  <c r="O297"/>
  <c r="Q296"/>
  <c r="O296"/>
  <c r="O295"/>
  <c r="Q294"/>
  <c r="O294"/>
  <c r="Q293"/>
  <c r="O293"/>
  <c r="Q292"/>
  <c r="O292"/>
  <c r="O291"/>
  <c r="Q290"/>
  <c r="O290"/>
  <c r="Q289"/>
  <c r="O289"/>
  <c r="Q288"/>
  <c r="O288"/>
  <c r="O287"/>
  <c r="Q286"/>
  <c r="O286"/>
  <c r="Q285"/>
  <c r="O285"/>
  <c r="Q284"/>
  <c r="O284"/>
  <c r="O283"/>
  <c r="Q282"/>
  <c r="O282"/>
  <c r="Q281"/>
  <c r="O281"/>
  <c r="Q280"/>
  <c r="O280"/>
  <c r="O279"/>
  <c r="Q278"/>
  <c r="O278"/>
  <c r="Q277"/>
  <c r="O277"/>
  <c r="Q276"/>
  <c r="O276"/>
  <c r="O275"/>
  <c r="Q274"/>
  <c r="O274"/>
  <c r="Q273"/>
  <c r="O273"/>
  <c r="Q272"/>
  <c r="O272"/>
  <c r="O271"/>
  <c r="Q270"/>
  <c r="O270"/>
  <c r="Q269"/>
  <c r="O269"/>
  <c r="Q268"/>
  <c r="O268"/>
  <c r="O267"/>
  <c r="Q266"/>
  <c r="O266"/>
  <c r="Q265"/>
  <c r="O265"/>
  <c r="Q264"/>
  <c r="O264"/>
  <c r="O263"/>
  <c r="Q262"/>
  <c r="O262"/>
  <c r="Q261"/>
  <c r="O261"/>
  <c r="Q260"/>
  <c r="O260"/>
  <c r="O259"/>
  <c r="Q258"/>
  <c r="O258"/>
  <c r="Q257"/>
  <c r="O257"/>
  <c r="Q256"/>
  <c r="O256"/>
  <c r="O255"/>
  <c r="Q254"/>
  <c r="O254"/>
  <c r="Q253"/>
  <c r="O253"/>
  <c r="Q252"/>
  <c r="O252"/>
  <c r="O251"/>
  <c r="Q250"/>
  <c r="O250"/>
  <c r="Q249"/>
  <c r="O249"/>
  <c r="Q248"/>
  <c r="O248"/>
  <c r="O247"/>
  <c r="Q246"/>
  <c r="O246"/>
  <c r="Q245"/>
  <c r="O245"/>
  <c r="Q244"/>
  <c r="O244"/>
  <c r="O243"/>
  <c r="Q242"/>
  <c r="O242"/>
  <c r="Q241"/>
  <c r="O241"/>
  <c r="Q240"/>
  <c r="O240"/>
  <c r="O239"/>
  <c r="Q238"/>
  <c r="O238"/>
  <c r="Q237"/>
  <c r="O237"/>
  <c r="Q236"/>
  <c r="O236"/>
  <c r="O235"/>
  <c r="Q234"/>
  <c r="O234"/>
  <c r="Q233"/>
  <c r="O233"/>
  <c r="Q232"/>
  <c r="O232"/>
  <c r="O231"/>
  <c r="Q230"/>
  <c r="O230"/>
  <c r="Q229"/>
  <c r="O229"/>
  <c r="Q228"/>
  <c r="O228"/>
  <c r="O227"/>
  <c r="Q226"/>
  <c r="O226"/>
  <c r="Q225"/>
  <c r="O225"/>
  <c r="Q224"/>
  <c r="O224"/>
  <c r="O223"/>
  <c r="Q222"/>
  <c r="O222"/>
  <c r="Q221"/>
  <c r="O221"/>
  <c r="Q220"/>
  <c r="O220"/>
  <c r="O219"/>
  <c r="Q218"/>
  <c r="O218"/>
  <c r="Q217"/>
  <c r="O217"/>
  <c r="Q216"/>
  <c r="O216"/>
  <c r="O215"/>
  <c r="Q214"/>
  <c r="O214"/>
  <c r="Q213"/>
  <c r="O213"/>
  <c r="Q212"/>
  <c r="O212"/>
  <c r="O211"/>
  <c r="Q210"/>
  <c r="O210"/>
  <c r="Q209"/>
  <c r="O209"/>
  <c r="Q208"/>
  <c r="O208"/>
  <c r="O207"/>
  <c r="Q206"/>
  <c r="O206"/>
  <c r="Q205"/>
  <c r="O205"/>
  <c r="Q204"/>
  <c r="O204"/>
  <c r="O203"/>
  <c r="Q202"/>
  <c r="O202"/>
  <c r="Q201"/>
  <c r="O201"/>
  <c r="Q200"/>
  <c r="O200"/>
  <c r="O199"/>
  <c r="Q198"/>
  <c r="O198"/>
  <c r="Q197"/>
  <c r="O197"/>
  <c r="Q196"/>
  <c r="O196"/>
  <c r="O195"/>
  <c r="Q194"/>
  <c r="O194"/>
  <c r="Q193"/>
  <c r="O193"/>
  <c r="Q192"/>
  <c r="O192"/>
  <c r="O191"/>
  <c r="Q190"/>
  <c r="O190"/>
  <c r="Q189"/>
  <c r="O189"/>
  <c r="Q188"/>
  <c r="O188"/>
  <c r="O187"/>
  <c r="Q186"/>
  <c r="O186"/>
  <c r="Q185"/>
  <c r="O185"/>
  <c r="Q184"/>
  <c r="O184"/>
  <c r="O183"/>
  <c r="Q182"/>
  <c r="O182"/>
  <c r="Q181"/>
  <c r="O181"/>
  <c r="Q180"/>
  <c r="O180"/>
  <c r="O179"/>
  <c r="Q178"/>
  <c r="O178"/>
  <c r="Q177"/>
  <c r="O177"/>
  <c r="Q176"/>
  <c r="O176"/>
  <c r="O175"/>
  <c r="Q174"/>
  <c r="O174"/>
  <c r="Q173"/>
  <c r="O173"/>
  <c r="Q172"/>
  <c r="O172"/>
  <c r="O171"/>
  <c r="Q170"/>
  <c r="O170"/>
  <c r="Q169"/>
  <c r="O169"/>
  <c r="Q168"/>
  <c r="O168"/>
  <c r="O167"/>
  <c r="Q166"/>
  <c r="O166"/>
  <c r="Q165"/>
  <c r="O165"/>
  <c r="Q164"/>
  <c r="O164"/>
  <c r="O163"/>
  <c r="Q162"/>
  <c r="O162"/>
  <c r="Q161"/>
  <c r="O161"/>
  <c r="Q160"/>
  <c r="O160"/>
  <c r="O159"/>
  <c r="Q158"/>
  <c r="O158"/>
  <c r="Q157"/>
  <c r="O157"/>
  <c r="Q156"/>
  <c r="O156"/>
  <c r="O155"/>
  <c r="Q154"/>
  <c r="O154"/>
  <c r="Q153"/>
  <c r="O153"/>
  <c r="Q152"/>
  <c r="O152"/>
  <c r="O151"/>
  <c r="Q150"/>
  <c r="O150"/>
  <c r="Q149"/>
  <c r="O149"/>
  <c r="Q148"/>
  <c r="O148"/>
  <c r="O147"/>
  <c r="Q146"/>
  <c r="O146"/>
  <c r="Q145"/>
  <c r="O145"/>
  <c r="Q144"/>
  <c r="O144"/>
  <c r="O143"/>
  <c r="Q142"/>
  <c r="O142"/>
  <c r="Q141"/>
  <c r="O141"/>
  <c r="Q140"/>
  <c r="O140"/>
  <c r="O139"/>
  <c r="Q138"/>
  <c r="O138"/>
  <c r="Q137"/>
  <c r="O137"/>
  <c r="Q136"/>
  <c r="O136"/>
  <c r="O135"/>
  <c r="Q134"/>
  <c r="O134"/>
  <c r="Q133"/>
  <c r="O133"/>
  <c r="Q132"/>
  <c r="O132"/>
  <c r="O131"/>
  <c r="Q130"/>
  <c r="O130"/>
  <c r="Q129"/>
  <c r="O129"/>
  <c r="Q128"/>
  <c r="O128"/>
  <c r="O127"/>
  <c r="Q126"/>
  <c r="O126"/>
  <c r="Q125"/>
  <c r="O125"/>
  <c r="Q124"/>
  <c r="O124"/>
  <c r="O123"/>
  <c r="Q122"/>
  <c r="O122"/>
  <c r="Q121"/>
  <c r="O121"/>
  <c r="Q120"/>
  <c r="O120"/>
  <c r="O119"/>
  <c r="Q118"/>
  <c r="O118"/>
  <c r="Q117"/>
  <c r="O117"/>
  <c r="Q116"/>
  <c r="O116"/>
  <c r="O115"/>
  <c r="Q114"/>
  <c r="O114"/>
  <c r="Q113"/>
  <c r="O113"/>
  <c r="Q112"/>
  <c r="O112"/>
  <c r="O111"/>
  <c r="Q110"/>
  <c r="O110"/>
  <c r="Q109"/>
  <c r="O109"/>
  <c r="Q108"/>
  <c r="O108"/>
  <c r="O107"/>
  <c r="Q106"/>
  <c r="O106"/>
  <c r="Q105"/>
  <c r="O105"/>
  <c r="Q104"/>
  <c r="O104"/>
  <c r="O103"/>
  <c r="Q102"/>
  <c r="O102"/>
  <c r="Q101"/>
  <c r="O101"/>
  <c r="Q100"/>
  <c r="O100"/>
  <c r="O99"/>
  <c r="Q98"/>
  <c r="O98"/>
  <c r="Q97"/>
  <c r="O97"/>
  <c r="Q96"/>
  <c r="O96"/>
  <c r="O95"/>
  <c r="Q94"/>
  <c r="Q93"/>
  <c r="Q92"/>
  <c r="Q90"/>
  <c r="Q89"/>
  <c r="Q88"/>
  <c r="Q86"/>
  <c r="Q85"/>
  <c r="Q84"/>
  <c r="Q82"/>
  <c r="Q81"/>
  <c r="Q80"/>
  <c r="Q78"/>
  <c r="Q77"/>
  <c r="Q76"/>
  <c r="Q74"/>
  <c r="Q73"/>
  <c r="Q72"/>
  <c r="Q70"/>
  <c r="Q69"/>
  <c r="Q68"/>
  <c r="Q66"/>
  <c r="Q65"/>
  <c r="Q64"/>
  <c r="Q62"/>
  <c r="Q61"/>
  <c r="Q60"/>
  <c r="Q58"/>
  <c r="Q57"/>
  <c r="Q56"/>
  <c r="Q54"/>
  <c r="Q53"/>
  <c r="Q52"/>
  <c r="Q50"/>
  <c r="Q49"/>
  <c r="Q48"/>
  <c r="Q46"/>
  <c r="Q45"/>
  <c r="Q44"/>
  <c r="Q42"/>
  <c r="Q41"/>
  <c r="Q40"/>
  <c r="Q38"/>
  <c r="Q37"/>
  <c r="Q36"/>
  <c r="Q34"/>
  <c r="Q33"/>
  <c r="Q32"/>
  <c r="Q30"/>
  <c r="Q29"/>
  <c r="Q28"/>
  <c r="Q26"/>
  <c r="Q25"/>
  <c r="Q24"/>
  <c r="Q22"/>
  <c r="Q21"/>
  <c r="Q20"/>
  <c r="Q18"/>
  <c r="Q17"/>
  <c r="Q16"/>
  <c r="Q14"/>
  <c r="Q13"/>
  <c r="Q12"/>
  <c r="Q10"/>
  <c r="Q9"/>
  <c r="Q8"/>
  <c r="Q6"/>
  <c r="Q5"/>
  <c r="P5" i="7" l="1"/>
  <c r="P3" s="1"/>
  <c r="N3"/>
  <c r="M3"/>
  <c r="O3" i="5"/>
  <c r="Q3"/>
  <c r="O10" i="3"/>
  <c r="N10" s="1"/>
  <c r="P10" s="1"/>
  <c r="L10" l="1"/>
  <c r="H97" i="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L97" l="1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K3" l="1"/>
  <c r="J3"/>
  <c r="L3"/>
  <c r="I3"/>
  <c r="H3"/>
  <c r="G3"/>
  <c r="F3"/>
  <c r="E3"/>
  <c r="D3"/>
  <c r="C3"/>
  <c r="I6" i="5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"/>
  <c r="M5"/>
  <c r="E3"/>
  <c r="D3"/>
  <c r="I3" l="1"/>
  <c r="G3"/>
  <c r="M6" l="1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"/>
  <c r="H3"/>
  <c r="F3"/>
  <c r="M3" l="1"/>
  <c r="K3"/>
  <c r="L3"/>
  <c r="J3"/>
  <c r="AE49" i="1" l="1"/>
  <c r="F97" i="3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3"/>
  <c r="F46"/>
  <c r="F45"/>
  <c r="F42"/>
  <c r="F47"/>
  <c r="F44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N76"/>
  <c r="O65"/>
  <c r="N32"/>
  <c r="F3" l="1"/>
  <c r="K55" i="1" l="1"/>
  <c r="O43"/>
  <c r="K34"/>
  <c r="K21"/>
  <c r="O7" l="1"/>
  <c r="K7"/>
  <c r="O21"/>
  <c r="O34"/>
  <c r="K71"/>
  <c r="O71"/>
  <c r="O67"/>
  <c r="K67"/>
  <c r="K56"/>
  <c r="O56"/>
  <c r="O55"/>
  <c r="K43"/>
  <c r="K28"/>
  <c r="O28"/>
  <c r="K11"/>
  <c r="O11"/>
  <c r="AE273" l="1"/>
  <c r="AE261"/>
  <c r="AE122" l="1"/>
  <c r="AE130"/>
  <c r="AE72"/>
  <c r="AE265"/>
  <c r="AE250"/>
  <c r="AE241"/>
  <c r="AE240"/>
  <c r="AE238"/>
  <c r="AE227"/>
  <c r="AE189"/>
  <c r="AE169"/>
  <c r="AE139"/>
  <c r="AE135"/>
  <c r="AE129"/>
  <c r="AE127"/>
  <c r="AE126"/>
  <c r="AE116"/>
  <c r="AE92"/>
  <c r="AE91"/>
  <c r="AE79"/>
  <c r="AE62"/>
  <c r="AE41"/>
  <c r="AE42"/>
  <c r="F6" l="1"/>
  <c r="F7"/>
  <c r="F8"/>
  <c r="F44"/>
  <c r="F10"/>
  <c r="F11"/>
  <c r="F12"/>
  <c r="F13"/>
  <c r="F14"/>
  <c r="F15"/>
  <c r="F16"/>
  <c r="F17"/>
  <c r="F18"/>
  <c r="F19"/>
  <c r="F20"/>
  <c r="F21"/>
  <c r="F22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9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3"/>
  <c r="F82"/>
  <c r="F84"/>
  <c r="F85"/>
  <c r="F86"/>
  <c r="F87"/>
  <c r="F88"/>
  <c r="F89"/>
  <c r="F90"/>
  <c r="F91"/>
  <c r="F94"/>
  <c r="F95"/>
  <c r="F93"/>
  <c r="F96"/>
  <c r="F97"/>
  <c r="F92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5"/>
  <c r="D6"/>
  <c r="D7"/>
  <c r="D8"/>
  <c r="D44"/>
  <c r="D10"/>
  <c r="D11"/>
  <c r="D12"/>
  <c r="D13"/>
  <c r="D14"/>
  <c r="D15"/>
  <c r="D16"/>
  <c r="D17"/>
  <c r="D18"/>
  <c r="D19"/>
  <c r="D20"/>
  <c r="D21"/>
  <c r="D22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9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3"/>
  <c r="D82"/>
  <c r="D84"/>
  <c r="D85"/>
  <c r="D86"/>
  <c r="D87"/>
  <c r="D88"/>
  <c r="D89"/>
  <c r="D90"/>
  <c r="D91"/>
  <c r="D94"/>
  <c r="D95"/>
  <c r="D93"/>
  <c r="D96"/>
  <c r="D97"/>
  <c r="D92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5"/>
  <c r="F4" l="1"/>
  <c r="BP90" l="1"/>
  <c r="BL90"/>
  <c r="AV90"/>
  <c r="AJ90"/>
  <c r="BT99"/>
  <c r="BP99"/>
  <c r="BP122"/>
  <c r="AV122"/>
  <c r="AR122"/>
  <c r="AN122"/>
  <c r="AJ122"/>
  <c r="BL130"/>
  <c r="AR130"/>
  <c r="AN130"/>
  <c r="AJ130"/>
  <c r="AV62" l="1"/>
  <c r="AX62" s="1"/>
  <c r="BF62"/>
  <c r="AU63"/>
  <c r="AV63"/>
  <c r="BF63"/>
  <c r="AU70"/>
  <c r="AV70"/>
  <c r="BL62"/>
  <c r="BN62" s="1"/>
  <c r="BP62"/>
  <c r="BR62" s="1"/>
  <c r="BL63"/>
  <c r="BN63" s="1"/>
  <c r="BP63"/>
  <c r="BR63" s="1"/>
  <c r="BL70"/>
  <c r="BN70" s="1"/>
  <c r="BP70"/>
  <c r="AX70" l="1"/>
  <c r="AX63"/>
  <c r="BL42"/>
  <c r="AV42"/>
  <c r="AR42"/>
  <c r="AN41" l="1"/>
  <c r="AJ41"/>
  <c r="AR49"/>
  <c r="D17" i="4" l="1"/>
  <c r="A8" l="1"/>
  <c r="A9" s="1"/>
  <c r="A10" s="1"/>
  <c r="A11" s="1"/>
  <c r="E11"/>
  <c r="E8"/>
  <c r="E9" l="1"/>
  <c r="E10"/>
  <c r="O97" i="3"/>
  <c r="N97"/>
  <c r="H97"/>
  <c r="D97"/>
  <c r="O96"/>
  <c r="N96"/>
  <c r="H96"/>
  <c r="D96"/>
  <c r="O95"/>
  <c r="N95"/>
  <c r="L95" s="1"/>
  <c r="H95"/>
  <c r="D95"/>
  <c r="O94"/>
  <c r="N94"/>
  <c r="H94"/>
  <c r="D94"/>
  <c r="O93"/>
  <c r="N93" s="1"/>
  <c r="H93"/>
  <c r="D93"/>
  <c r="O92"/>
  <c r="N92" s="1"/>
  <c r="H92"/>
  <c r="D92"/>
  <c r="O91"/>
  <c r="H91"/>
  <c r="D91"/>
  <c r="O90"/>
  <c r="N90" s="1"/>
  <c r="P90" s="1"/>
  <c r="T90" s="1"/>
  <c r="U90" s="1"/>
  <c r="V90" s="1"/>
  <c r="H90"/>
  <c r="D90"/>
  <c r="O89"/>
  <c r="H89"/>
  <c r="D89"/>
  <c r="O88"/>
  <c r="H88"/>
  <c r="D88"/>
  <c r="O87"/>
  <c r="H87"/>
  <c r="D87"/>
  <c r="O86"/>
  <c r="H86"/>
  <c r="D86"/>
  <c r="O85"/>
  <c r="N85" s="1"/>
  <c r="P85" s="1"/>
  <c r="T85" s="1"/>
  <c r="U85" s="1"/>
  <c r="Y85" s="1"/>
  <c r="H85"/>
  <c r="D85"/>
  <c r="O84"/>
  <c r="N84"/>
  <c r="H84"/>
  <c r="D84"/>
  <c r="O83"/>
  <c r="N83" s="1"/>
  <c r="P83" s="1"/>
  <c r="T83" s="1"/>
  <c r="U83" s="1"/>
  <c r="H83"/>
  <c r="D83"/>
  <c r="O82"/>
  <c r="N82" s="1"/>
  <c r="P82" s="1"/>
  <c r="T82" s="1"/>
  <c r="U82" s="1"/>
  <c r="H82"/>
  <c r="D82"/>
  <c r="O81"/>
  <c r="N81"/>
  <c r="L81" s="1"/>
  <c r="H81"/>
  <c r="D81"/>
  <c r="O80"/>
  <c r="N80"/>
  <c r="L80" s="1"/>
  <c r="H80"/>
  <c r="D80"/>
  <c r="O79"/>
  <c r="N79"/>
  <c r="H79"/>
  <c r="D79"/>
  <c r="O78"/>
  <c r="N78"/>
  <c r="L78" s="1"/>
  <c r="H78"/>
  <c r="D78"/>
  <c r="O77"/>
  <c r="N77"/>
  <c r="L77" s="1"/>
  <c r="H77"/>
  <c r="D77"/>
  <c r="O76"/>
  <c r="L76"/>
  <c r="H76"/>
  <c r="D76"/>
  <c r="O75"/>
  <c r="N75"/>
  <c r="L75" s="1"/>
  <c r="H75"/>
  <c r="D75"/>
  <c r="O74"/>
  <c r="N74"/>
  <c r="L74" s="1"/>
  <c r="H74"/>
  <c r="D74"/>
  <c r="O73"/>
  <c r="N73"/>
  <c r="H73"/>
  <c r="D73"/>
  <c r="O72"/>
  <c r="N72"/>
  <c r="L72" s="1"/>
  <c r="H72"/>
  <c r="D72"/>
  <c r="O71"/>
  <c r="N71"/>
  <c r="L71" s="1"/>
  <c r="H71"/>
  <c r="D71"/>
  <c r="O70"/>
  <c r="N70"/>
  <c r="L70" s="1"/>
  <c r="H70"/>
  <c r="D70"/>
  <c r="O69"/>
  <c r="N69"/>
  <c r="L69" s="1"/>
  <c r="H69"/>
  <c r="D69"/>
  <c r="O68"/>
  <c r="N68"/>
  <c r="L68" s="1"/>
  <c r="H68"/>
  <c r="D68"/>
  <c r="O67"/>
  <c r="N67"/>
  <c r="L67" s="1"/>
  <c r="H67"/>
  <c r="D67"/>
  <c r="O66"/>
  <c r="N66"/>
  <c r="L66" s="1"/>
  <c r="H66"/>
  <c r="D66"/>
  <c r="N65"/>
  <c r="L65" s="1"/>
  <c r="H65"/>
  <c r="D65"/>
  <c r="O64"/>
  <c r="N64"/>
  <c r="L64" s="1"/>
  <c r="H64"/>
  <c r="D64"/>
  <c r="O63"/>
  <c r="N63"/>
  <c r="L63" s="1"/>
  <c r="H63"/>
  <c r="D63"/>
  <c r="O62"/>
  <c r="P62" s="1"/>
  <c r="T62" s="1"/>
  <c r="U62" s="1"/>
  <c r="Y62" s="1"/>
  <c r="L62"/>
  <c r="H62"/>
  <c r="D62"/>
  <c r="O61"/>
  <c r="N61"/>
  <c r="L61" s="1"/>
  <c r="H61"/>
  <c r="D61"/>
  <c r="O60"/>
  <c r="N60"/>
  <c r="L60" s="1"/>
  <c r="H60"/>
  <c r="D60"/>
  <c r="O59"/>
  <c r="N59"/>
  <c r="L59" s="1"/>
  <c r="H59"/>
  <c r="D59"/>
  <c r="O58"/>
  <c r="N58"/>
  <c r="L58" s="1"/>
  <c r="H58"/>
  <c r="D58"/>
  <c r="O57"/>
  <c r="N57"/>
  <c r="L57" s="1"/>
  <c r="H57"/>
  <c r="D57"/>
  <c r="O56"/>
  <c r="N56"/>
  <c r="H56"/>
  <c r="D56"/>
  <c r="O55"/>
  <c r="N55" s="1"/>
  <c r="P55" s="1"/>
  <c r="H55"/>
  <c r="D55"/>
  <c r="O54"/>
  <c r="N54"/>
  <c r="L54" s="1"/>
  <c r="H54"/>
  <c r="D54"/>
  <c r="O53"/>
  <c r="N53"/>
  <c r="H53"/>
  <c r="D53"/>
  <c r="O52"/>
  <c r="N52"/>
  <c r="L52" s="1"/>
  <c r="H52"/>
  <c r="D52"/>
  <c r="O51"/>
  <c r="N51"/>
  <c r="L51" s="1"/>
  <c r="H51"/>
  <c r="D51"/>
  <c r="O50"/>
  <c r="N50"/>
  <c r="H50"/>
  <c r="D50"/>
  <c r="O49"/>
  <c r="N49"/>
  <c r="L49" s="1"/>
  <c r="H49"/>
  <c r="D49"/>
  <c r="O48"/>
  <c r="N48"/>
  <c r="L48" s="1"/>
  <c r="H48"/>
  <c r="D48"/>
  <c r="O43"/>
  <c r="N43"/>
  <c r="L43" s="1"/>
  <c r="H43"/>
  <c r="D43"/>
  <c r="O46"/>
  <c r="N46"/>
  <c r="L46" s="1"/>
  <c r="H46"/>
  <c r="D46"/>
  <c r="O45"/>
  <c r="N45"/>
  <c r="H45"/>
  <c r="D45"/>
  <c r="O42"/>
  <c r="N42" s="1"/>
  <c r="L42" s="1"/>
  <c r="H42"/>
  <c r="D42"/>
  <c r="O47"/>
  <c r="N47"/>
  <c r="H47"/>
  <c r="D47"/>
  <c r="O44"/>
  <c r="N44"/>
  <c r="L44" s="1"/>
  <c r="H44"/>
  <c r="D44"/>
  <c r="O41"/>
  <c r="N41"/>
  <c r="H41"/>
  <c r="D41"/>
  <c r="O40"/>
  <c r="N40" s="1"/>
  <c r="L40" s="1"/>
  <c r="H40"/>
  <c r="D40"/>
  <c r="O39"/>
  <c r="N39"/>
  <c r="L39" s="1"/>
  <c r="H39"/>
  <c r="D39"/>
  <c r="O38"/>
  <c r="N38"/>
  <c r="H38"/>
  <c r="D38"/>
  <c r="O37"/>
  <c r="N37" s="1"/>
  <c r="L37" s="1"/>
  <c r="H37"/>
  <c r="D37"/>
  <c r="O36"/>
  <c r="N36"/>
  <c r="L36" s="1"/>
  <c r="H36"/>
  <c r="D36"/>
  <c r="O35"/>
  <c r="N35" s="1"/>
  <c r="L35" s="1"/>
  <c r="H35"/>
  <c r="D35"/>
  <c r="O34"/>
  <c r="N34"/>
  <c r="L34" s="1"/>
  <c r="H34"/>
  <c r="D34"/>
  <c r="O33"/>
  <c r="N33"/>
  <c r="L33" s="1"/>
  <c r="H33"/>
  <c r="D33"/>
  <c r="O32"/>
  <c r="L32" s="1"/>
  <c r="H32"/>
  <c r="D32"/>
  <c r="O31"/>
  <c r="N31" s="1"/>
  <c r="L31" s="1"/>
  <c r="H31"/>
  <c r="D31"/>
  <c r="O30"/>
  <c r="N30"/>
  <c r="H30"/>
  <c r="D30"/>
  <c r="O29"/>
  <c r="N29"/>
  <c r="H29"/>
  <c r="D29"/>
  <c r="O28"/>
  <c r="N28" s="1"/>
  <c r="H28"/>
  <c r="D28"/>
  <c r="O27"/>
  <c r="N27" s="1"/>
  <c r="H27"/>
  <c r="D27"/>
  <c r="O26"/>
  <c r="N26" s="1"/>
  <c r="H26"/>
  <c r="D26"/>
  <c r="O25"/>
  <c r="N25"/>
  <c r="H25"/>
  <c r="D25"/>
  <c r="O24"/>
  <c r="N24"/>
  <c r="L24" s="1"/>
  <c r="H24"/>
  <c r="D24"/>
  <c r="O23"/>
  <c r="N23" s="1"/>
  <c r="H23"/>
  <c r="D23"/>
  <c r="O22"/>
  <c r="N22" s="1"/>
  <c r="H22"/>
  <c r="D22"/>
  <c r="O21"/>
  <c r="N21"/>
  <c r="H21"/>
  <c r="D21"/>
  <c r="O20"/>
  <c r="N20"/>
  <c r="H20"/>
  <c r="D20"/>
  <c r="O19"/>
  <c r="N19" s="1"/>
  <c r="H19"/>
  <c r="D19"/>
  <c r="O18"/>
  <c r="N18" s="1"/>
  <c r="H18"/>
  <c r="D18"/>
  <c r="O17"/>
  <c r="N17" s="1"/>
  <c r="H17"/>
  <c r="D17"/>
  <c r="O16"/>
  <c r="N16" s="1"/>
  <c r="H16"/>
  <c r="D16"/>
  <c r="O15"/>
  <c r="N15" s="1"/>
  <c r="H15"/>
  <c r="D15"/>
  <c r="O14"/>
  <c r="N14" s="1"/>
  <c r="H14"/>
  <c r="D14"/>
  <c r="O13"/>
  <c r="N13" s="1"/>
  <c r="H13"/>
  <c r="D13"/>
  <c r="O12"/>
  <c r="P12" s="1"/>
  <c r="T12" s="1"/>
  <c r="U12" s="1"/>
  <c r="Y12" s="1"/>
  <c r="L12"/>
  <c r="H12"/>
  <c r="D12"/>
  <c r="O11"/>
  <c r="N11" s="1"/>
  <c r="L11" s="1"/>
  <c r="H11"/>
  <c r="D11"/>
  <c r="H10"/>
  <c r="D10"/>
  <c r="O9"/>
  <c r="N9" s="1"/>
  <c r="L9" s="1"/>
  <c r="H9"/>
  <c r="D9"/>
  <c r="O8"/>
  <c r="N8" s="1"/>
  <c r="L8" s="1"/>
  <c r="H8"/>
  <c r="D8"/>
  <c r="O7"/>
  <c r="N7" s="1"/>
  <c r="L7" s="1"/>
  <c r="H7"/>
  <c r="D7"/>
  <c r="O6"/>
  <c r="N6" s="1"/>
  <c r="L6" s="1"/>
  <c r="H6"/>
  <c r="D6"/>
  <c r="O5"/>
  <c r="N5" s="1"/>
  <c r="L5" s="1"/>
  <c r="H5"/>
  <c r="D5"/>
  <c r="W90" l="1"/>
  <c r="X90"/>
  <c r="V82"/>
  <c r="AA82"/>
  <c r="AB82" s="1"/>
  <c r="Y83"/>
  <c r="AA83"/>
  <c r="AB83" s="1"/>
  <c r="P25"/>
  <c r="T25" s="1"/>
  <c r="U25" s="1"/>
  <c r="Y25" s="1"/>
  <c r="P84"/>
  <c r="L84" s="1"/>
  <c r="P20"/>
  <c r="T20" s="1"/>
  <c r="U20" s="1"/>
  <c r="P21"/>
  <c r="L21" s="1"/>
  <c r="P97"/>
  <c r="L97" s="1"/>
  <c r="P70"/>
  <c r="T70" s="1"/>
  <c r="U70" s="1"/>
  <c r="P72"/>
  <c r="T72" s="1"/>
  <c r="U72" s="1"/>
  <c r="Y72" s="1"/>
  <c r="P95"/>
  <c r="T95" s="1"/>
  <c r="U95" s="1"/>
  <c r="Y95" s="1"/>
  <c r="L85"/>
  <c r="L90"/>
  <c r="P78"/>
  <c r="T78" s="1"/>
  <c r="U78" s="1"/>
  <c r="P80"/>
  <c r="T80" s="1"/>
  <c r="U80" s="1"/>
  <c r="P66"/>
  <c r="T66" s="1"/>
  <c r="U66" s="1"/>
  <c r="Y66" s="1"/>
  <c r="P68"/>
  <c r="T68" s="1"/>
  <c r="U68" s="1"/>
  <c r="Y68" s="1"/>
  <c r="L55"/>
  <c r="T55"/>
  <c r="U55" s="1"/>
  <c r="AA55" s="1"/>
  <c r="AB55" s="1"/>
  <c r="P92"/>
  <c r="T92" s="1"/>
  <c r="U92" s="1"/>
  <c r="V92" s="1"/>
  <c r="L92"/>
  <c r="L20"/>
  <c r="P24"/>
  <c r="T24" s="1"/>
  <c r="U24" s="1"/>
  <c r="Y24" s="1"/>
  <c r="L25"/>
  <c r="P29"/>
  <c r="P30"/>
  <c r="P38"/>
  <c r="P41"/>
  <c r="P47"/>
  <c r="P45"/>
  <c r="P50"/>
  <c r="P53"/>
  <c r="P56"/>
  <c r="P63"/>
  <c r="T63" s="1"/>
  <c r="U63" s="1"/>
  <c r="P64"/>
  <c r="T64" s="1"/>
  <c r="U64" s="1"/>
  <c r="Y64" s="1"/>
  <c r="P67"/>
  <c r="T67" s="1"/>
  <c r="U67" s="1"/>
  <c r="Y67" s="1"/>
  <c r="P69"/>
  <c r="T69" s="1"/>
  <c r="U69" s="1"/>
  <c r="Y69" s="1"/>
  <c r="P71"/>
  <c r="T71" s="1"/>
  <c r="U71" s="1"/>
  <c r="Y71" s="1"/>
  <c r="P73"/>
  <c r="P74"/>
  <c r="T74" s="1"/>
  <c r="U74" s="1"/>
  <c r="Y74" s="1"/>
  <c r="P76"/>
  <c r="T76" s="1"/>
  <c r="U76" s="1"/>
  <c r="P93"/>
  <c r="T93" s="1"/>
  <c r="U93" s="1"/>
  <c r="Y93" s="1"/>
  <c r="L93"/>
  <c r="P77"/>
  <c r="T77" s="1"/>
  <c r="U77" s="1"/>
  <c r="V77" s="1"/>
  <c r="X77" s="1"/>
  <c r="P79"/>
  <c r="P81"/>
  <c r="T81" s="1"/>
  <c r="U81" s="1"/>
  <c r="P94"/>
  <c r="P96"/>
  <c r="E7" i="4"/>
  <c r="Y90" i="3"/>
  <c r="Y82"/>
  <c r="V85"/>
  <c r="X85" s="1"/>
  <c r="V83"/>
  <c r="X83" s="1"/>
  <c r="V62"/>
  <c r="V12"/>
  <c r="P13"/>
  <c r="T13" s="1"/>
  <c r="U13" s="1"/>
  <c r="L13"/>
  <c r="P15"/>
  <c r="T15" s="1"/>
  <c r="U15" s="1"/>
  <c r="V15" s="1"/>
  <c r="X15" s="1"/>
  <c r="L15"/>
  <c r="P17"/>
  <c r="T17" s="1"/>
  <c r="U17" s="1"/>
  <c r="L17"/>
  <c r="P19"/>
  <c r="T19" s="1"/>
  <c r="U19" s="1"/>
  <c r="AA19" s="1"/>
  <c r="AB19" s="1"/>
  <c r="L19"/>
  <c r="P22"/>
  <c r="T22" s="1"/>
  <c r="U22" s="1"/>
  <c r="Y22" s="1"/>
  <c r="L22"/>
  <c r="P26"/>
  <c r="T26" s="1"/>
  <c r="U26" s="1"/>
  <c r="Y26" s="1"/>
  <c r="L26"/>
  <c r="P28"/>
  <c r="T28" s="1"/>
  <c r="U28" s="1"/>
  <c r="Y28" s="1"/>
  <c r="L28"/>
  <c r="P14"/>
  <c r="T14" s="1"/>
  <c r="U14" s="1"/>
  <c r="Y14" s="1"/>
  <c r="L14"/>
  <c r="P16"/>
  <c r="T16" s="1"/>
  <c r="U16" s="1"/>
  <c r="Y16" s="1"/>
  <c r="L16"/>
  <c r="P18"/>
  <c r="T18" s="1"/>
  <c r="U18" s="1"/>
  <c r="L18"/>
  <c r="P23"/>
  <c r="T23" s="1"/>
  <c r="U23" s="1"/>
  <c r="L23"/>
  <c r="P27"/>
  <c r="T27" s="1"/>
  <c r="U27" s="1"/>
  <c r="L27"/>
  <c r="P5"/>
  <c r="T5" s="1"/>
  <c r="U5" s="1"/>
  <c r="Y5" s="1"/>
  <c r="P6"/>
  <c r="T6" s="1"/>
  <c r="U6" s="1"/>
  <c r="P7"/>
  <c r="T7" s="1"/>
  <c r="U7" s="1"/>
  <c r="V7" s="1"/>
  <c r="X7" s="1"/>
  <c r="P8"/>
  <c r="T8" s="1"/>
  <c r="U8" s="1"/>
  <c r="P9"/>
  <c r="T9" s="1"/>
  <c r="U9" s="1"/>
  <c r="Y9" s="1"/>
  <c r="T10"/>
  <c r="U10" s="1"/>
  <c r="Y10" s="1"/>
  <c r="P11"/>
  <c r="T11" s="1"/>
  <c r="U11" s="1"/>
  <c r="V11" s="1"/>
  <c r="X11" s="1"/>
  <c r="P32"/>
  <c r="T32" s="1"/>
  <c r="U32" s="1"/>
  <c r="P34"/>
  <c r="T34" s="1"/>
  <c r="U34" s="1"/>
  <c r="Y34" s="1"/>
  <c r="P36"/>
  <c r="T36" s="1"/>
  <c r="U36" s="1"/>
  <c r="Y36" s="1"/>
  <c r="P40"/>
  <c r="T40" s="1"/>
  <c r="U40" s="1"/>
  <c r="P44"/>
  <c r="T44" s="1"/>
  <c r="U44" s="1"/>
  <c r="Y44" s="1"/>
  <c r="P42"/>
  <c r="T42" s="1"/>
  <c r="U42" s="1"/>
  <c r="P46"/>
  <c r="T46" s="1"/>
  <c r="U46" s="1"/>
  <c r="Y46" s="1"/>
  <c r="P48"/>
  <c r="T48" s="1"/>
  <c r="U48" s="1"/>
  <c r="Y48" s="1"/>
  <c r="P52"/>
  <c r="T52" s="1"/>
  <c r="U52" s="1"/>
  <c r="P54"/>
  <c r="T54" s="1"/>
  <c r="U54" s="1"/>
  <c r="P58"/>
  <c r="T58" s="1"/>
  <c r="U58" s="1"/>
  <c r="P59"/>
  <c r="T59" s="1"/>
  <c r="U59" s="1"/>
  <c r="P60"/>
  <c r="T60" s="1"/>
  <c r="U60" s="1"/>
  <c r="Y60" s="1"/>
  <c r="P61"/>
  <c r="T61" s="1"/>
  <c r="U61" s="1"/>
  <c r="P31"/>
  <c r="T31" s="1"/>
  <c r="U31" s="1"/>
  <c r="P33"/>
  <c r="T33" s="1"/>
  <c r="U33" s="1"/>
  <c r="P35"/>
  <c r="T35" s="1"/>
  <c r="U35" s="1"/>
  <c r="P37"/>
  <c r="T37" s="1"/>
  <c r="U37" s="1"/>
  <c r="P39"/>
  <c r="T39" s="1"/>
  <c r="U39" s="1"/>
  <c r="P43"/>
  <c r="T43" s="1"/>
  <c r="U43" s="1"/>
  <c r="P49"/>
  <c r="T49" s="1"/>
  <c r="U49" s="1"/>
  <c r="P51"/>
  <c r="T51" s="1"/>
  <c r="U51" s="1"/>
  <c r="Y51" s="1"/>
  <c r="P57"/>
  <c r="T57" s="1"/>
  <c r="U57" s="1"/>
  <c r="P65"/>
  <c r="T65" s="1"/>
  <c r="U65" s="1"/>
  <c r="Y65" s="1"/>
  <c r="P75"/>
  <c r="T75" s="1"/>
  <c r="U75" s="1"/>
  <c r="L82"/>
  <c r="L83"/>
  <c r="N86"/>
  <c r="L86" s="1"/>
  <c r="N87"/>
  <c r="L87" s="1"/>
  <c r="N88"/>
  <c r="L88" s="1"/>
  <c r="N89"/>
  <c r="L89" s="1"/>
  <c r="N91"/>
  <c r="L91" s="1"/>
  <c r="W62" l="1"/>
  <c r="X62"/>
  <c r="W92"/>
  <c r="X92"/>
  <c r="W82"/>
  <c r="X82"/>
  <c r="W12"/>
  <c r="X12"/>
  <c r="Y54"/>
  <c r="AA54"/>
  <c r="AB54" s="1"/>
  <c r="Y40"/>
  <c r="AA40"/>
  <c r="AB40" s="1"/>
  <c r="Y18"/>
  <c r="AA18"/>
  <c r="AB18" s="1"/>
  <c r="Y75"/>
  <c r="AA75"/>
  <c r="AB75" s="1"/>
  <c r="V35"/>
  <c r="X35" s="1"/>
  <c r="AA35"/>
  <c r="AB35" s="1"/>
  <c r="Y8"/>
  <c r="AA8"/>
  <c r="AB8" s="1"/>
  <c r="V76"/>
  <c r="AA76"/>
  <c r="AB76" s="1"/>
  <c r="Y70"/>
  <c r="AA70"/>
  <c r="AB70" s="1"/>
  <c r="Y37"/>
  <c r="AA37"/>
  <c r="AB37" s="1"/>
  <c r="Y17"/>
  <c r="AA17"/>
  <c r="AB17" s="1"/>
  <c r="Y13"/>
  <c r="AA13"/>
  <c r="AB13" s="1"/>
  <c r="Y81"/>
  <c r="AA81"/>
  <c r="AB81" s="1"/>
  <c r="Y78"/>
  <c r="AA78"/>
  <c r="AB78" s="1"/>
  <c r="Y20"/>
  <c r="AA20"/>
  <c r="AB20" s="1"/>
  <c r="V39"/>
  <c r="X39" s="1"/>
  <c r="AA39"/>
  <c r="AB39" s="1"/>
  <c r="V31"/>
  <c r="X31" s="1"/>
  <c r="AA31"/>
  <c r="AB31" s="1"/>
  <c r="Y58"/>
  <c r="AA58"/>
  <c r="AB58" s="1"/>
  <c r="Y6"/>
  <c r="AA6"/>
  <c r="AB6" s="1"/>
  <c r="V80"/>
  <c r="AA80"/>
  <c r="AB80" s="1"/>
  <c r="V32"/>
  <c r="X32" s="1"/>
  <c r="Y32"/>
  <c r="Y33"/>
  <c r="T21"/>
  <c r="U21" s="1"/>
  <c r="T84"/>
  <c r="U84" s="1"/>
  <c r="T97"/>
  <c r="U97" s="1"/>
  <c r="Y97" s="1"/>
  <c r="V25"/>
  <c r="V20"/>
  <c r="V72"/>
  <c r="X72" s="1"/>
  <c r="Y92"/>
  <c r="V70"/>
  <c r="Y80"/>
  <c r="V95"/>
  <c r="V69"/>
  <c r="V71"/>
  <c r="V66"/>
  <c r="V78"/>
  <c r="V24"/>
  <c r="V64"/>
  <c r="X64" s="1"/>
  <c r="V68"/>
  <c r="X68" s="1"/>
  <c r="V74"/>
  <c r="X74" s="1"/>
  <c r="V67"/>
  <c r="V93"/>
  <c r="V81"/>
  <c r="V57"/>
  <c r="X57" s="1"/>
  <c r="Y57"/>
  <c r="V49"/>
  <c r="X49" s="1"/>
  <c r="Y49"/>
  <c r="P91"/>
  <c r="T91" s="1"/>
  <c r="U91" s="1"/>
  <c r="P89"/>
  <c r="T89" s="1"/>
  <c r="U89" s="1"/>
  <c r="P88"/>
  <c r="T88" s="1"/>
  <c r="U88" s="1"/>
  <c r="P87"/>
  <c r="T87" s="1"/>
  <c r="U87" s="1"/>
  <c r="P86"/>
  <c r="T86" s="1"/>
  <c r="U86" s="1"/>
  <c r="V43"/>
  <c r="X43" s="1"/>
  <c r="Y43"/>
  <c r="V61"/>
  <c r="X61" s="1"/>
  <c r="Y61"/>
  <c r="V59"/>
  <c r="X59" s="1"/>
  <c r="Y59"/>
  <c r="Y42"/>
  <c r="V27"/>
  <c r="X27" s="1"/>
  <c r="Y27"/>
  <c r="V23"/>
  <c r="X23" s="1"/>
  <c r="Y23"/>
  <c r="V19"/>
  <c r="X19" s="1"/>
  <c r="Y19"/>
  <c r="W7"/>
  <c r="W11"/>
  <c r="W15"/>
  <c r="V51"/>
  <c r="X51" s="1"/>
  <c r="V13"/>
  <c r="V37"/>
  <c r="V58"/>
  <c r="X58" s="1"/>
  <c r="V6"/>
  <c r="X6" s="1"/>
  <c r="V14"/>
  <c r="X14" s="1"/>
  <c r="V22"/>
  <c r="X22" s="1"/>
  <c r="V46"/>
  <c r="X46" s="1"/>
  <c r="V65"/>
  <c r="X65" s="1"/>
  <c r="Y7"/>
  <c r="Y15"/>
  <c r="Y35"/>
  <c r="L96"/>
  <c r="T96"/>
  <c r="U96" s="1"/>
  <c r="AE78"/>
  <c r="Y77"/>
  <c r="AE76"/>
  <c r="Y76"/>
  <c r="L73"/>
  <c r="T73"/>
  <c r="U73" s="1"/>
  <c r="L56"/>
  <c r="T56"/>
  <c r="U56" s="1"/>
  <c r="AA56" s="1"/>
  <c r="AB56" s="1"/>
  <c r="L50"/>
  <c r="T50"/>
  <c r="U50" s="1"/>
  <c r="AA50" s="1"/>
  <c r="AB50" s="1"/>
  <c r="L47"/>
  <c r="T47"/>
  <c r="U47" s="1"/>
  <c r="L38"/>
  <c r="T38"/>
  <c r="U38" s="1"/>
  <c r="AA38" s="1"/>
  <c r="AB38" s="1"/>
  <c r="L29"/>
  <c r="T29"/>
  <c r="U29" s="1"/>
  <c r="V55"/>
  <c r="X55" s="1"/>
  <c r="Y55"/>
  <c r="V52"/>
  <c r="X52" s="1"/>
  <c r="Y52"/>
  <c r="V5"/>
  <c r="X5" s="1"/>
  <c r="V8"/>
  <c r="V16"/>
  <c r="X16" s="1"/>
  <c r="V28"/>
  <c r="X28" s="1"/>
  <c r="V36"/>
  <c r="X36" s="1"/>
  <c r="V40"/>
  <c r="V42"/>
  <c r="X42" s="1"/>
  <c r="V48"/>
  <c r="V9"/>
  <c r="V17"/>
  <c r="X17" s="1"/>
  <c r="V33"/>
  <c r="V54"/>
  <c r="X54" s="1"/>
  <c r="V60"/>
  <c r="V10"/>
  <c r="V18"/>
  <c r="V26"/>
  <c r="V34"/>
  <c r="V44"/>
  <c r="V75"/>
  <c r="X75" s="1"/>
  <c r="Y11"/>
  <c r="Y31"/>
  <c r="Y39"/>
  <c r="L94"/>
  <c r="T94"/>
  <c r="U94" s="1"/>
  <c r="L79"/>
  <c r="T79"/>
  <c r="U79" s="1"/>
  <c r="V63"/>
  <c r="X63" s="1"/>
  <c r="Y63"/>
  <c r="L53"/>
  <c r="T53"/>
  <c r="U53" s="1"/>
  <c r="L45"/>
  <c r="T45"/>
  <c r="U45" s="1"/>
  <c r="AE49" s="1"/>
  <c r="L41"/>
  <c r="T41"/>
  <c r="U41" s="1"/>
  <c r="L30"/>
  <c r="T30"/>
  <c r="U30" s="1"/>
  <c r="W83"/>
  <c r="W85"/>
  <c r="W77"/>
  <c r="W26" l="1"/>
  <c r="X26"/>
  <c r="W48"/>
  <c r="X48"/>
  <c r="W13"/>
  <c r="X13"/>
  <c r="W93"/>
  <c r="X93"/>
  <c r="W71"/>
  <c r="X71"/>
  <c r="W70"/>
  <c r="X70"/>
  <c r="W25"/>
  <c r="X25"/>
  <c r="W80"/>
  <c r="X80"/>
  <c r="W76"/>
  <c r="X76"/>
  <c r="W34"/>
  <c r="X34"/>
  <c r="W60"/>
  <c r="X60"/>
  <c r="W9"/>
  <c r="X9"/>
  <c r="W37"/>
  <c r="X37"/>
  <c r="W81"/>
  <c r="X81"/>
  <c r="W66"/>
  <c r="X66"/>
  <c r="W20"/>
  <c r="X20"/>
  <c r="W44"/>
  <c r="X44"/>
  <c r="W10"/>
  <c r="X10"/>
  <c r="W40"/>
  <c r="X40"/>
  <c r="W8"/>
  <c r="X8"/>
  <c r="W78"/>
  <c r="X78"/>
  <c r="W95"/>
  <c r="X95"/>
  <c r="W18"/>
  <c r="X18"/>
  <c r="W33"/>
  <c r="X33"/>
  <c r="W67"/>
  <c r="X67"/>
  <c r="W24"/>
  <c r="X24"/>
  <c r="W69"/>
  <c r="X69"/>
  <c r="AD78"/>
  <c r="W39"/>
  <c r="W35"/>
  <c r="Y21"/>
  <c r="AA21"/>
  <c r="AB21" s="1"/>
  <c r="V84"/>
  <c r="AA84"/>
  <c r="AB84" s="1"/>
  <c r="AD76"/>
  <c r="C10" i="4" s="1"/>
  <c r="W31" i="3"/>
  <c r="AE33"/>
  <c r="AE73"/>
  <c r="Y84"/>
  <c r="W32"/>
  <c r="V21"/>
  <c r="V97"/>
  <c r="X97" s="1"/>
  <c r="W72"/>
  <c r="W17"/>
  <c r="W64"/>
  <c r="W75"/>
  <c r="W68"/>
  <c r="W5"/>
  <c r="W74"/>
  <c r="W65"/>
  <c r="D10" i="4"/>
  <c r="W63" i="3"/>
  <c r="W42"/>
  <c r="W36"/>
  <c r="W16"/>
  <c r="W52"/>
  <c r="W55"/>
  <c r="W22"/>
  <c r="W6"/>
  <c r="W51"/>
  <c r="W19"/>
  <c r="W23"/>
  <c r="W27"/>
  <c r="W59"/>
  <c r="W61"/>
  <c r="W43"/>
  <c r="Y87"/>
  <c r="V87"/>
  <c r="X87" s="1"/>
  <c r="Y89"/>
  <c r="V89"/>
  <c r="X89" s="1"/>
  <c r="Y30"/>
  <c r="V30"/>
  <c r="X30" s="1"/>
  <c r="Y41"/>
  <c r="V41"/>
  <c r="X41" s="1"/>
  <c r="Y45"/>
  <c r="AD49" s="1"/>
  <c r="V45"/>
  <c r="X45" s="1"/>
  <c r="V53"/>
  <c r="X53" s="1"/>
  <c r="Y53"/>
  <c r="AE79"/>
  <c r="Y79"/>
  <c r="AD79" s="1"/>
  <c r="V79"/>
  <c r="X79" s="1"/>
  <c r="Y94"/>
  <c r="V94"/>
  <c r="X94" s="1"/>
  <c r="AE47"/>
  <c r="W54"/>
  <c r="W28"/>
  <c r="Y29"/>
  <c r="V29"/>
  <c r="X29" s="1"/>
  <c r="Y38"/>
  <c r="V38"/>
  <c r="X38" s="1"/>
  <c r="V47"/>
  <c r="X47" s="1"/>
  <c r="Y47"/>
  <c r="V50"/>
  <c r="X50" s="1"/>
  <c r="Y50"/>
  <c r="Y56"/>
  <c r="V56"/>
  <c r="X56" s="1"/>
  <c r="Y73"/>
  <c r="V73"/>
  <c r="X73" s="1"/>
  <c r="Y96"/>
  <c r="V96"/>
  <c r="X96" s="1"/>
  <c r="W46"/>
  <c r="W14"/>
  <c r="W58"/>
  <c r="Y86"/>
  <c r="V86"/>
  <c r="X86" s="1"/>
  <c r="AE97"/>
  <c r="V88"/>
  <c r="X88" s="1"/>
  <c r="Y88"/>
  <c r="Y91"/>
  <c r="V91"/>
  <c r="X91" s="1"/>
  <c r="W49"/>
  <c r="W57"/>
  <c r="D60" i="2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8"/>
  <c r="W21" i="3" l="1"/>
  <c r="X21"/>
  <c r="W84"/>
  <c r="X84"/>
  <c r="AD73"/>
  <c r="C9" i="4" s="1"/>
  <c r="W97" i="3"/>
  <c r="D9" i="4"/>
  <c r="D7"/>
  <c r="C7"/>
  <c r="AD47" i="3"/>
  <c r="C8" i="4" s="1"/>
  <c r="D11"/>
  <c r="Y2" i="3"/>
  <c r="D8" i="4"/>
  <c r="W91" i="3"/>
  <c r="AD97"/>
  <c r="C11" i="4" s="1"/>
  <c r="W96" i="3"/>
  <c r="W73"/>
  <c r="W56"/>
  <c r="W38"/>
  <c r="W29"/>
  <c r="W94"/>
  <c r="W79"/>
  <c r="W53"/>
  <c r="W88"/>
  <c r="W86"/>
  <c r="W50"/>
  <c r="W47"/>
  <c r="W45"/>
  <c r="W41"/>
  <c r="W30"/>
  <c r="W89"/>
  <c r="W87"/>
  <c r="K165" i="1" l="1"/>
  <c r="K36"/>
  <c r="BR12" l="1"/>
  <c r="BF240"/>
  <c r="BL41"/>
  <c r="BN41" s="1"/>
  <c r="BF265"/>
  <c r="BF250"/>
  <c r="BF238"/>
  <c r="BF227"/>
  <c r="BF218"/>
  <c r="BF205"/>
  <c r="BF197"/>
  <c r="BF169"/>
  <c r="BF170"/>
  <c r="BF151"/>
  <c r="BF139"/>
  <c r="BF135"/>
  <c r="BF91" l="1"/>
  <c r="BF79"/>
  <c r="BF41"/>
  <c r="AU205"/>
  <c r="AU197"/>
  <c r="AE197" s="1"/>
  <c r="K214" l="1"/>
  <c r="K212"/>
  <c r="K210"/>
  <c r="K200"/>
  <c r="K196"/>
  <c r="K194"/>
  <c r="K192"/>
  <c r="K190"/>
  <c r="K188"/>
  <c r="K186"/>
  <c r="K184"/>
  <c r="K182"/>
  <c r="K180"/>
  <c r="K178"/>
  <c r="K176"/>
  <c r="K174"/>
  <c r="K160"/>
  <c r="K156"/>
  <c r="K152"/>
  <c r="K155"/>
  <c r="K150"/>
  <c r="K148"/>
  <c r="K146"/>
  <c r="K26"/>
  <c r="K32"/>
  <c r="K18"/>
  <c r="K16"/>
  <c r="K8"/>
  <c r="K6"/>
  <c r="K215"/>
  <c r="K213"/>
  <c r="K211"/>
  <c r="K209"/>
  <c r="K208"/>
  <c r="K207"/>
  <c r="K206"/>
  <c r="K205"/>
  <c r="K204"/>
  <c r="K203"/>
  <c r="K202"/>
  <c r="K201"/>
  <c r="K199"/>
  <c r="K198"/>
  <c r="K197"/>
  <c r="K195"/>
  <c r="K193"/>
  <c r="K191"/>
  <c r="K189"/>
  <c r="K187"/>
  <c r="K185"/>
  <c r="K183"/>
  <c r="K181"/>
  <c r="K179"/>
  <c r="K177"/>
  <c r="K175"/>
  <c r="K173"/>
  <c r="K172"/>
  <c r="K169"/>
  <c r="K170"/>
  <c r="K168"/>
  <c r="K167"/>
  <c r="K166"/>
  <c r="K164"/>
  <c r="K163"/>
  <c r="K162"/>
  <c r="K161"/>
  <c r="K159"/>
  <c r="K158"/>
  <c r="K157"/>
  <c r="K153"/>
  <c r="K154"/>
  <c r="K151"/>
  <c r="K149"/>
  <c r="K147"/>
  <c r="K145"/>
  <c r="K144"/>
  <c r="K143"/>
  <c r="K142"/>
  <c r="K141"/>
  <c r="K140"/>
  <c r="K138"/>
  <c r="K139"/>
  <c r="K137"/>
  <c r="K135"/>
  <c r="K136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4"/>
  <c r="K113"/>
  <c r="K112"/>
  <c r="K111"/>
  <c r="K110"/>
  <c r="K109"/>
  <c r="K108"/>
  <c r="K107"/>
  <c r="K106"/>
  <c r="K105"/>
  <c r="K104"/>
  <c r="K103"/>
  <c r="K102"/>
  <c r="K101"/>
  <c r="K100"/>
  <c r="K98"/>
  <c r="K92"/>
  <c r="K97"/>
  <c r="K96"/>
  <c r="K93"/>
  <c r="K95"/>
  <c r="K94"/>
  <c r="K91"/>
  <c r="K90"/>
  <c r="K89"/>
  <c r="K88"/>
  <c r="K87"/>
  <c r="K86"/>
  <c r="K85"/>
  <c r="K84"/>
  <c r="K82"/>
  <c r="K83"/>
  <c r="K81"/>
  <c r="K80"/>
  <c r="K79"/>
  <c r="K78"/>
  <c r="K77"/>
  <c r="K76"/>
  <c r="K75"/>
  <c r="K74"/>
  <c r="K73"/>
  <c r="K72"/>
  <c r="K70"/>
  <c r="K69"/>
  <c r="K68"/>
  <c r="K66"/>
  <c r="K65"/>
  <c r="K64"/>
  <c r="K63"/>
  <c r="K62"/>
  <c r="K60"/>
  <c r="K59"/>
  <c r="K58"/>
  <c r="K57"/>
  <c r="K54"/>
  <c r="K53"/>
  <c r="K52"/>
  <c r="K51"/>
  <c r="K50"/>
  <c r="K49"/>
  <c r="K45"/>
  <c r="K48"/>
  <c r="K46"/>
  <c r="K47"/>
  <c r="K41"/>
  <c r="K42"/>
  <c r="K40"/>
  <c r="K39"/>
  <c r="K38"/>
  <c r="K37"/>
  <c r="K35"/>
  <c r="K33"/>
  <c r="K31"/>
  <c r="K29"/>
  <c r="K27"/>
  <c r="K25"/>
  <c r="K22"/>
  <c r="K20"/>
  <c r="K19"/>
  <c r="K17"/>
  <c r="K15"/>
  <c r="K14"/>
  <c r="K13"/>
  <c r="K12"/>
  <c r="K10"/>
  <c r="K44"/>
  <c r="K171" l="1"/>
  <c r="O171"/>
  <c r="AU170"/>
  <c r="AT227"/>
  <c r="AM251"/>
  <c r="AE251" s="1"/>
  <c r="AM218"/>
  <c r="AE218" s="1"/>
  <c r="AM170"/>
  <c r="E53" i="2"/>
  <c r="E16"/>
  <c r="AI205" i="1"/>
  <c r="AE205" s="1"/>
  <c r="AI170"/>
  <c r="AI151"/>
  <c r="AE151" s="1"/>
  <c r="AE170" l="1"/>
  <c r="E18" i="2"/>
  <c r="AL129" i="1"/>
  <c r="AI63" l="1"/>
  <c r="AE63" s="1"/>
  <c r="BF116"/>
  <c r="BP116"/>
  <c r="BR116" s="1"/>
  <c r="BL116"/>
  <c r="BN116" s="1"/>
  <c r="AV116"/>
  <c r="AX116" s="1"/>
  <c r="AR116"/>
  <c r="AT116" s="1"/>
  <c r="AN116"/>
  <c r="AP116" s="1"/>
  <c r="AJ116"/>
  <c r="AL116" s="1"/>
  <c r="AP41"/>
  <c r="AL79" l="1"/>
  <c r="AL41"/>
  <c r="E44" i="2"/>
  <c r="E43"/>
  <c r="S267" i="1"/>
  <c r="T267" s="1"/>
  <c r="X267" s="1"/>
  <c r="BP265"/>
  <c r="BL265"/>
  <c r="BN265" s="1"/>
  <c r="AZ265"/>
  <c r="AV265"/>
  <c r="AX265" s="1"/>
  <c r="AR265"/>
  <c r="AT265" s="1"/>
  <c r="AN265"/>
  <c r="AP265" s="1"/>
  <c r="AJ265"/>
  <c r="S265"/>
  <c r="T265" s="1"/>
  <c r="X265" s="1"/>
  <c r="S264"/>
  <c r="T264" s="1"/>
  <c r="X264" s="1"/>
  <c r="S260"/>
  <c r="T260" s="1"/>
  <c r="X260" s="1"/>
  <c r="S252"/>
  <c r="T252" s="1"/>
  <c r="S253"/>
  <c r="T253" s="1"/>
  <c r="BL251"/>
  <c r="BN251" s="1"/>
  <c r="AV251"/>
  <c r="AX251" s="1"/>
  <c r="AR251"/>
  <c r="AT251" s="1"/>
  <c r="AN251"/>
  <c r="AP251" s="1"/>
  <c r="AJ251"/>
  <c r="S251"/>
  <c r="T251" s="1"/>
  <c r="X251" s="1"/>
  <c r="AN250"/>
  <c r="AP250" s="1"/>
  <c r="AJ250"/>
  <c r="S246"/>
  <c r="T246" s="1"/>
  <c r="X246" s="1"/>
  <c r="S243"/>
  <c r="T243" s="1"/>
  <c r="X243" s="1"/>
  <c r="BP241"/>
  <c r="BL241"/>
  <c r="BN241" s="1"/>
  <c r="AN241"/>
  <c r="AP241" s="1"/>
  <c r="AJ241"/>
  <c r="BP240"/>
  <c r="BR240" s="1"/>
  <c r="BL240"/>
  <c r="BN240" s="1"/>
  <c r="AV240"/>
  <c r="AX240" s="1"/>
  <c r="AR240"/>
  <c r="AT240" s="1"/>
  <c r="AN240"/>
  <c r="AP240" s="1"/>
  <c r="AJ240"/>
  <c r="S240"/>
  <c r="T240" s="1"/>
  <c r="X240" s="1"/>
  <c r="S239"/>
  <c r="T239" s="1"/>
  <c r="X239" s="1"/>
  <c r="BP238"/>
  <c r="BL238"/>
  <c r="BN238" s="1"/>
  <c r="AV238"/>
  <c r="AX238" s="1"/>
  <c r="AR238"/>
  <c r="AT238" s="1"/>
  <c r="AN238"/>
  <c r="AP238" s="1"/>
  <c r="AJ238"/>
  <c r="S238"/>
  <c r="T238" s="1"/>
  <c r="X238" s="1"/>
  <c r="S237"/>
  <c r="T237" s="1"/>
  <c r="X237" s="1"/>
  <c r="S234"/>
  <c r="T234" s="1"/>
  <c r="X234" s="1"/>
  <c r="S233"/>
  <c r="T233" s="1"/>
  <c r="X233" s="1"/>
  <c r="S231"/>
  <c r="T231" s="1"/>
  <c r="X231" s="1"/>
  <c r="S228"/>
  <c r="T228" s="1"/>
  <c r="X228" s="1"/>
  <c r="BP227"/>
  <c r="BR227" s="1"/>
  <c r="BL227"/>
  <c r="BN227" s="1"/>
  <c r="AV227"/>
  <c r="AX227" s="1"/>
  <c r="AN227"/>
  <c r="AP227" s="1"/>
  <c r="AJ227"/>
  <c r="S226"/>
  <c r="T226" s="1"/>
  <c r="X226" s="1"/>
  <c r="S225"/>
  <c r="T225" s="1"/>
  <c r="X225" s="1"/>
  <c r="S224"/>
  <c r="T224" s="1"/>
  <c r="X224" s="1"/>
  <c r="S221"/>
  <c r="T221" s="1"/>
  <c r="X221" s="1"/>
  <c r="S220"/>
  <c r="T220" s="1"/>
  <c r="X220" s="1"/>
  <c r="S219"/>
  <c r="T219" s="1"/>
  <c r="X219" s="1"/>
  <c r="BL218"/>
  <c r="BN218" s="1"/>
  <c r="AV218"/>
  <c r="AX218" s="1"/>
  <c r="AR218"/>
  <c r="AT218" s="1"/>
  <c r="AN218"/>
  <c r="S217"/>
  <c r="T217" s="1"/>
  <c r="X217" s="1"/>
  <c r="O215"/>
  <c r="O214"/>
  <c r="S214" s="1"/>
  <c r="T214" s="1"/>
  <c r="X214" s="1"/>
  <c r="O213"/>
  <c r="S213" s="1"/>
  <c r="T213" s="1"/>
  <c r="X213" s="1"/>
  <c r="O212"/>
  <c r="S212" s="1"/>
  <c r="T212" s="1"/>
  <c r="X212" s="1"/>
  <c r="O211"/>
  <c r="S211" s="1"/>
  <c r="T211" s="1"/>
  <c r="O210"/>
  <c r="S210" s="1"/>
  <c r="T210" s="1"/>
  <c r="X210" s="1"/>
  <c r="O209"/>
  <c r="S209" s="1"/>
  <c r="T209" s="1"/>
  <c r="X209" s="1"/>
  <c r="O208"/>
  <c r="S208" s="1"/>
  <c r="T208" s="1"/>
  <c r="X208" s="1"/>
  <c r="O207"/>
  <c r="S207" s="1"/>
  <c r="T207" s="1"/>
  <c r="X207" s="1"/>
  <c r="O206"/>
  <c r="S206" s="1"/>
  <c r="T206" s="1"/>
  <c r="X206" s="1"/>
  <c r="BP205"/>
  <c r="BL205"/>
  <c r="BN205" s="1"/>
  <c r="AV205"/>
  <c r="AX205" s="1"/>
  <c r="AR205"/>
  <c r="AT205" s="1"/>
  <c r="AN205"/>
  <c r="AP205" s="1"/>
  <c r="AJ205"/>
  <c r="O205"/>
  <c r="S205" s="1"/>
  <c r="T205" s="1"/>
  <c r="X205" s="1"/>
  <c r="O204"/>
  <c r="S204" s="1"/>
  <c r="T204" s="1"/>
  <c r="X204" s="1"/>
  <c r="O203"/>
  <c r="S203" s="1"/>
  <c r="T203" s="1"/>
  <c r="X203" s="1"/>
  <c r="O200"/>
  <c r="S200" s="1"/>
  <c r="T200" s="1"/>
  <c r="X200" s="1"/>
  <c r="O198"/>
  <c r="S198" s="1"/>
  <c r="T198" s="1"/>
  <c r="X198" s="1"/>
  <c r="BP197"/>
  <c r="BL197"/>
  <c r="BN197" s="1"/>
  <c r="AV197"/>
  <c r="AX197" s="1"/>
  <c r="AR197"/>
  <c r="AT197" s="1"/>
  <c r="AN197"/>
  <c r="AP197" s="1"/>
  <c r="AJ197"/>
  <c r="BL189"/>
  <c r="BN189" s="1"/>
  <c r="AV189"/>
  <c r="AX189" s="1"/>
  <c r="AR189"/>
  <c r="AT189" s="1"/>
  <c r="AN189"/>
  <c r="AP189" s="1"/>
  <c r="AJ189"/>
  <c r="O190"/>
  <c r="S190" s="1"/>
  <c r="T190" s="1"/>
  <c r="X190" s="1"/>
  <c r="O189"/>
  <c r="S189" s="1"/>
  <c r="T189" s="1"/>
  <c r="BL169"/>
  <c r="BN169" s="1"/>
  <c r="AV169"/>
  <c r="AX169" s="1"/>
  <c r="AR169"/>
  <c r="AT169" s="1"/>
  <c r="AN169"/>
  <c r="AP169" s="1"/>
  <c r="AJ169"/>
  <c r="BL170"/>
  <c r="BN170" s="1"/>
  <c r="AV170"/>
  <c r="AX170" s="1"/>
  <c r="AR170"/>
  <c r="AT170" s="1"/>
  <c r="AN170"/>
  <c r="AP170" s="1"/>
  <c r="AJ170"/>
  <c r="O170"/>
  <c r="S170" s="1"/>
  <c r="T170" s="1"/>
  <c r="X170" s="1"/>
  <c r="O163"/>
  <c r="S163" s="1"/>
  <c r="T163" s="1"/>
  <c r="X163" s="1"/>
  <c r="O162"/>
  <c r="S162" s="1"/>
  <c r="T162" s="1"/>
  <c r="X162" s="1"/>
  <c r="O161"/>
  <c r="S161" s="1"/>
  <c r="T161" s="1"/>
  <c r="X161" s="1"/>
  <c r="O159"/>
  <c r="S159" s="1"/>
  <c r="T159" s="1"/>
  <c r="O158"/>
  <c r="S158" s="1"/>
  <c r="T158" s="1"/>
  <c r="X158" s="1"/>
  <c r="O157"/>
  <c r="S157" s="1"/>
  <c r="T157" s="1"/>
  <c r="X157" s="1"/>
  <c r="O156"/>
  <c r="S156" s="1"/>
  <c r="T156" s="1"/>
  <c r="X156" s="1"/>
  <c r="O153"/>
  <c r="S153" s="1"/>
  <c r="T153" s="1"/>
  <c r="X153" s="1"/>
  <c r="O152"/>
  <c r="S152" s="1"/>
  <c r="T152" s="1"/>
  <c r="X152" s="1"/>
  <c r="O154"/>
  <c r="S154" s="1"/>
  <c r="T154" s="1"/>
  <c r="X154" s="1"/>
  <c r="O155"/>
  <c r="S155" s="1"/>
  <c r="T155" s="1"/>
  <c r="X155" s="1"/>
  <c r="BP151"/>
  <c r="BL151"/>
  <c r="BN151" s="1"/>
  <c r="AV151"/>
  <c r="AX151" s="1"/>
  <c r="AR151"/>
  <c r="AT151" s="1"/>
  <c r="AN151"/>
  <c r="AP151" s="1"/>
  <c r="AJ151"/>
  <c r="O143"/>
  <c r="S143" s="1"/>
  <c r="T143" s="1"/>
  <c r="X143" s="1"/>
  <c r="BP139"/>
  <c r="BR139" s="1"/>
  <c r="BL139"/>
  <c r="BN139" s="1"/>
  <c r="AV139"/>
  <c r="AR139"/>
  <c r="AT139" s="1"/>
  <c r="AJ139"/>
  <c r="BP135"/>
  <c r="BR135" s="1"/>
  <c r="BL135"/>
  <c r="BN135" s="1"/>
  <c r="AV135"/>
  <c r="AX135" s="1"/>
  <c r="AR135"/>
  <c r="AT135" s="1"/>
  <c r="AN135"/>
  <c r="AP135" s="1"/>
  <c r="AJ135"/>
  <c r="O133"/>
  <c r="S133" s="1"/>
  <c r="T133" s="1"/>
  <c r="X133" s="1"/>
  <c r="O132"/>
  <c r="S132" s="1"/>
  <c r="T132" s="1"/>
  <c r="X132" s="1"/>
  <c r="O131"/>
  <c r="S131" s="1"/>
  <c r="T131" s="1"/>
  <c r="X131" s="1"/>
  <c r="O130"/>
  <c r="S130" s="1"/>
  <c r="T130" s="1"/>
  <c r="AN129"/>
  <c r="O129"/>
  <c r="S129" s="1"/>
  <c r="T129" s="1"/>
  <c r="X129" s="1"/>
  <c r="O128"/>
  <c r="S128" s="1"/>
  <c r="T128" s="1"/>
  <c r="O127"/>
  <c r="S127" s="1"/>
  <c r="T127" s="1"/>
  <c r="X127" s="1"/>
  <c r="AV126"/>
  <c r="AX126" s="1"/>
  <c r="AN126"/>
  <c r="AJ126"/>
  <c r="O105"/>
  <c r="S105" s="1"/>
  <c r="T105" s="1"/>
  <c r="X105" s="1"/>
  <c r="O99"/>
  <c r="S99" s="1"/>
  <c r="T99" s="1"/>
  <c r="X99" s="1"/>
  <c r="O98"/>
  <c r="S98" s="1"/>
  <c r="T98" s="1"/>
  <c r="X98" s="1"/>
  <c r="BP92"/>
  <c r="AV92"/>
  <c r="AX92" s="1"/>
  <c r="AJ92"/>
  <c r="O97"/>
  <c r="S97" s="1"/>
  <c r="T97" s="1"/>
  <c r="X97" s="1"/>
  <c r="O96"/>
  <c r="S96" s="1"/>
  <c r="T96" s="1"/>
  <c r="X96" s="1"/>
  <c r="O93"/>
  <c r="S93" s="1"/>
  <c r="T93" s="1"/>
  <c r="X93" s="1"/>
  <c r="O95"/>
  <c r="S95" s="1"/>
  <c r="T95" s="1"/>
  <c r="X95" s="1"/>
  <c r="O94"/>
  <c r="S94" s="1"/>
  <c r="T94" s="1"/>
  <c r="X94" s="1"/>
  <c r="BR91"/>
  <c r="BL91"/>
  <c r="BN91" s="1"/>
  <c r="AX91"/>
  <c r="O91"/>
  <c r="S91" s="1"/>
  <c r="T91" s="1"/>
  <c r="O90"/>
  <c r="S90" s="1"/>
  <c r="T90" s="1"/>
  <c r="O89"/>
  <c r="S89" s="1"/>
  <c r="T89" s="1"/>
  <c r="X89" s="1"/>
  <c r="O88"/>
  <c r="S88" s="1"/>
  <c r="T88" s="1"/>
  <c r="X88" s="1"/>
  <c r="O87"/>
  <c r="S87" s="1"/>
  <c r="T87" s="1"/>
  <c r="X87" s="1"/>
  <c r="O86"/>
  <c r="S86" s="1"/>
  <c r="T86" s="1"/>
  <c r="X86" s="1"/>
  <c r="O85"/>
  <c r="S85" s="1"/>
  <c r="T85" s="1"/>
  <c r="X85" s="1"/>
  <c r="O84"/>
  <c r="S84" s="1"/>
  <c r="T84" s="1"/>
  <c r="X84" s="1"/>
  <c r="O82"/>
  <c r="S82" s="1"/>
  <c r="T82" s="1"/>
  <c r="X82" s="1"/>
  <c r="O83"/>
  <c r="S83" s="1"/>
  <c r="T83" s="1"/>
  <c r="X83" s="1"/>
  <c r="O81"/>
  <c r="S81" s="1"/>
  <c r="T81" s="1"/>
  <c r="X81" s="1"/>
  <c r="O80"/>
  <c r="S80" s="1"/>
  <c r="T80" s="1"/>
  <c r="X80" s="1"/>
  <c r="BP79"/>
  <c r="BR79" s="1"/>
  <c r="AV79"/>
  <c r="O75"/>
  <c r="S75" s="1"/>
  <c r="T75" s="1"/>
  <c r="X75" s="1"/>
  <c r="O73"/>
  <c r="S73" s="1"/>
  <c r="T73" s="1"/>
  <c r="X73" s="1"/>
  <c r="O72"/>
  <c r="S72" s="1"/>
  <c r="T72" s="1"/>
  <c r="S71"/>
  <c r="T71" s="1"/>
  <c r="X71" s="1"/>
  <c r="O70"/>
  <c r="S70" s="1"/>
  <c r="T70" s="1"/>
  <c r="X70" s="1"/>
  <c r="O69"/>
  <c r="S69" s="1"/>
  <c r="T69" s="1"/>
  <c r="X69" s="1"/>
  <c r="O68"/>
  <c r="S68" s="1"/>
  <c r="T68" s="1"/>
  <c r="X68" s="1"/>
  <c r="AJ63"/>
  <c r="AJ62"/>
  <c r="BL49"/>
  <c r="BN49" s="1"/>
  <c r="BP41"/>
  <c r="BF3"/>
  <c r="AV41"/>
  <c r="AX41" s="1"/>
  <c r="AR41"/>
  <c r="O36"/>
  <c r="S36" s="1"/>
  <c r="T36" s="1"/>
  <c r="X36" s="1"/>
  <c r="S28"/>
  <c r="T28" s="1"/>
  <c r="X28" s="1"/>
  <c r="O27"/>
  <c r="S27" s="1"/>
  <c r="T27" s="1"/>
  <c r="X27" s="1"/>
  <c r="O44"/>
  <c r="S44" s="1"/>
  <c r="T44" s="1"/>
  <c r="X44" s="1"/>
  <c r="BZ3"/>
  <c r="BV3"/>
  <c r="BJ3"/>
  <c r="BB3"/>
  <c r="S215" l="1"/>
  <c r="T215" s="1"/>
  <c r="X215" s="1"/>
  <c r="X91"/>
  <c r="AC91" s="1"/>
  <c r="AD91"/>
  <c r="C46" i="2"/>
  <c r="X252" i="1"/>
  <c r="AD252"/>
  <c r="X211"/>
  <c r="Z211"/>
  <c r="AA211" s="1"/>
  <c r="AD90"/>
  <c r="X130"/>
  <c r="AD130"/>
  <c r="X189"/>
  <c r="X253"/>
  <c r="AD253"/>
  <c r="X72"/>
  <c r="BN3"/>
  <c r="E7" i="2"/>
  <c r="BR3" i="1"/>
  <c r="E28" i="2"/>
  <c r="E50"/>
  <c r="C51"/>
  <c r="X90" i="1"/>
  <c r="AC90" s="1"/>
  <c r="X128"/>
  <c r="U159"/>
  <c r="X159"/>
  <c r="U44"/>
  <c r="W44" s="1"/>
  <c r="U28"/>
  <c r="W28" s="1"/>
  <c r="O29"/>
  <c r="S29" s="1"/>
  <c r="T29" s="1"/>
  <c r="X29" s="1"/>
  <c r="O31"/>
  <c r="S31" s="1"/>
  <c r="T31" s="1"/>
  <c r="X31" s="1"/>
  <c r="O33"/>
  <c r="S33" s="1"/>
  <c r="T33" s="1"/>
  <c r="X33" s="1"/>
  <c r="O35"/>
  <c r="S35" s="1"/>
  <c r="T35" s="1"/>
  <c r="O47"/>
  <c r="S47" s="1"/>
  <c r="T47" s="1"/>
  <c r="X47" s="1"/>
  <c r="O48"/>
  <c r="S48" s="1"/>
  <c r="T48" s="1"/>
  <c r="X48" s="1"/>
  <c r="O49"/>
  <c r="S49" s="1"/>
  <c r="O52"/>
  <c r="S52" s="1"/>
  <c r="T52" s="1"/>
  <c r="X52" s="1"/>
  <c r="O54"/>
  <c r="S54" s="1"/>
  <c r="T54" s="1"/>
  <c r="X54" s="1"/>
  <c r="S56"/>
  <c r="T56" s="1"/>
  <c r="X56" s="1"/>
  <c r="U69"/>
  <c r="W69" s="1"/>
  <c r="U75"/>
  <c r="W75" s="1"/>
  <c r="U87"/>
  <c r="W87" s="1"/>
  <c r="U89"/>
  <c r="W89" s="1"/>
  <c r="U91"/>
  <c r="W91" s="1"/>
  <c r="U96"/>
  <c r="W96" s="1"/>
  <c r="U105"/>
  <c r="W105" s="1"/>
  <c r="U127"/>
  <c r="W127" s="1"/>
  <c r="U129"/>
  <c r="W129" s="1"/>
  <c r="Z133"/>
  <c r="AA133" s="1"/>
  <c r="U133"/>
  <c r="W133" s="1"/>
  <c r="U143"/>
  <c r="W143" s="1"/>
  <c r="AD153"/>
  <c r="AC153"/>
  <c r="U152"/>
  <c r="W152" s="1"/>
  <c r="U170"/>
  <c r="W170" s="1"/>
  <c r="O32"/>
  <c r="S32" s="1"/>
  <c r="T32" s="1"/>
  <c r="X32" s="1"/>
  <c r="U27"/>
  <c r="W27" s="1"/>
  <c r="O26"/>
  <c r="S26" s="1"/>
  <c r="T26" s="1"/>
  <c r="X26" s="1"/>
  <c r="S34"/>
  <c r="T34" s="1"/>
  <c r="X34" s="1"/>
  <c r="U36"/>
  <c r="W36" s="1"/>
  <c r="O46"/>
  <c r="S46" s="1"/>
  <c r="T46" s="1"/>
  <c r="X46" s="1"/>
  <c r="O45"/>
  <c r="S45" s="1"/>
  <c r="T45" s="1"/>
  <c r="X45" s="1"/>
  <c r="O50"/>
  <c r="S50" s="1"/>
  <c r="T50" s="1"/>
  <c r="X50" s="1"/>
  <c r="O53"/>
  <c r="S53" s="1"/>
  <c r="T53" s="1"/>
  <c r="X53" s="1"/>
  <c r="S55"/>
  <c r="T55" s="1"/>
  <c r="X55" s="1"/>
  <c r="Z68"/>
  <c r="AA68" s="1"/>
  <c r="U68"/>
  <c r="W68" s="1"/>
  <c r="U71"/>
  <c r="W71" s="1"/>
  <c r="U72"/>
  <c r="W72" s="1"/>
  <c r="Z73"/>
  <c r="AA73" s="1"/>
  <c r="U73"/>
  <c r="W73" s="1"/>
  <c r="U80"/>
  <c r="W80" s="1"/>
  <c r="U83"/>
  <c r="W83" s="1"/>
  <c r="Z94"/>
  <c r="AA94" s="1"/>
  <c r="U94"/>
  <c r="W94" s="1"/>
  <c r="U97"/>
  <c r="W97" s="1"/>
  <c r="AD99"/>
  <c r="AH99" s="1"/>
  <c r="AC99"/>
  <c r="U98"/>
  <c r="W98" s="1"/>
  <c r="Z132"/>
  <c r="AA132" s="1"/>
  <c r="U132"/>
  <c r="W132" s="1"/>
  <c r="Z158"/>
  <c r="AA158" s="1"/>
  <c r="U158"/>
  <c r="W158" s="1"/>
  <c r="Z162"/>
  <c r="AA162" s="1"/>
  <c r="U162"/>
  <c r="W162" s="1"/>
  <c r="O6"/>
  <c r="S6" s="1"/>
  <c r="T6" s="1"/>
  <c r="X6" s="1"/>
  <c r="S7"/>
  <c r="T7" s="1"/>
  <c r="X7" s="1"/>
  <c r="O10"/>
  <c r="S10" s="1"/>
  <c r="T10" s="1"/>
  <c r="X10" s="1"/>
  <c r="O12"/>
  <c r="S12" s="1"/>
  <c r="T12" s="1"/>
  <c r="X12" s="1"/>
  <c r="O15"/>
  <c r="S15" s="1"/>
  <c r="T15" s="1"/>
  <c r="X15" s="1"/>
  <c r="O18"/>
  <c r="S18" s="1"/>
  <c r="T18" s="1"/>
  <c r="X18" s="1"/>
  <c r="O38"/>
  <c r="S38" s="1"/>
  <c r="T38" s="1"/>
  <c r="X38" s="1"/>
  <c r="O39"/>
  <c r="S39" s="1"/>
  <c r="T39" s="1"/>
  <c r="X39" s="1"/>
  <c r="O40"/>
  <c r="S40" s="1"/>
  <c r="T40" s="1"/>
  <c r="X40" s="1"/>
  <c r="O42"/>
  <c r="S42" s="1"/>
  <c r="T42" s="1"/>
  <c r="X42" s="1"/>
  <c r="O41"/>
  <c r="S41" s="1"/>
  <c r="T41" s="1"/>
  <c r="X41" s="1"/>
  <c r="S43"/>
  <c r="T43" s="1"/>
  <c r="O9"/>
  <c r="S9" s="1"/>
  <c r="T9" s="1"/>
  <c r="AT41"/>
  <c r="AT3" s="1"/>
  <c r="O51"/>
  <c r="S51" s="1"/>
  <c r="T51" s="1"/>
  <c r="X51" s="1"/>
  <c r="O57"/>
  <c r="S57" s="1"/>
  <c r="T57" s="1"/>
  <c r="X57" s="1"/>
  <c r="O58"/>
  <c r="S58" s="1"/>
  <c r="T58" s="1"/>
  <c r="X58" s="1"/>
  <c r="O59"/>
  <c r="S59" s="1"/>
  <c r="T59" s="1"/>
  <c r="X59" s="1"/>
  <c r="O60"/>
  <c r="S60" s="1"/>
  <c r="T60" s="1"/>
  <c r="X60" s="1"/>
  <c r="S61"/>
  <c r="O62"/>
  <c r="S62" s="1"/>
  <c r="T62" s="1"/>
  <c r="X62" s="1"/>
  <c r="AL62"/>
  <c r="E10" i="2"/>
  <c r="O63" i="1"/>
  <c r="S63" s="1"/>
  <c r="T63" s="1"/>
  <c r="X63" s="1"/>
  <c r="AL63"/>
  <c r="E11" i="2"/>
  <c r="O64" i="1"/>
  <c r="S64" s="1"/>
  <c r="T64" s="1"/>
  <c r="X64" s="1"/>
  <c r="O65"/>
  <c r="S65" s="1"/>
  <c r="T65" s="1"/>
  <c r="X65" s="1"/>
  <c r="O66"/>
  <c r="S66" s="1"/>
  <c r="T66" s="1"/>
  <c r="X66" s="1"/>
  <c r="S67"/>
  <c r="T67" s="1"/>
  <c r="X67" s="1"/>
  <c r="O77"/>
  <c r="S77" s="1"/>
  <c r="T77" s="1"/>
  <c r="X77" s="1"/>
  <c r="O78"/>
  <c r="S78" s="1"/>
  <c r="T78" s="1"/>
  <c r="X78" s="1"/>
  <c r="AX79"/>
  <c r="AX3" s="1"/>
  <c r="E12" i="2"/>
  <c r="O101" i="1"/>
  <c r="S101" s="1"/>
  <c r="T101" s="1"/>
  <c r="X101" s="1"/>
  <c r="O106"/>
  <c r="S106" s="1"/>
  <c r="T106" s="1"/>
  <c r="X106" s="1"/>
  <c r="O108"/>
  <c r="S108" s="1"/>
  <c r="T108" s="1"/>
  <c r="X108" s="1"/>
  <c r="O109"/>
  <c r="S109" s="1"/>
  <c r="T109" s="1"/>
  <c r="X109" s="1"/>
  <c r="O113"/>
  <c r="S113" s="1"/>
  <c r="T113" s="1"/>
  <c r="X113" s="1"/>
  <c r="E19" i="2"/>
  <c r="AL135" i="1"/>
  <c r="O140"/>
  <c r="S140" s="1"/>
  <c r="T140" s="1"/>
  <c r="X140" s="1"/>
  <c r="O142"/>
  <c r="S142" s="1"/>
  <c r="T142" s="1"/>
  <c r="X142" s="1"/>
  <c r="O149"/>
  <c r="S149" s="1"/>
  <c r="T149" s="1"/>
  <c r="X149" s="1"/>
  <c r="O150"/>
  <c r="S150" s="1"/>
  <c r="T150" s="1"/>
  <c r="X150" s="1"/>
  <c r="O151"/>
  <c r="S151" s="1"/>
  <c r="T151" s="1"/>
  <c r="X151" s="1"/>
  <c r="E21" i="2"/>
  <c r="AL151" i="1"/>
  <c r="AD154"/>
  <c r="AC154"/>
  <c r="U161"/>
  <c r="W161" s="1"/>
  <c r="O164"/>
  <c r="S164" s="1"/>
  <c r="T164" s="1"/>
  <c r="X164" s="1"/>
  <c r="O165"/>
  <c r="S165" s="1"/>
  <c r="T165" s="1"/>
  <c r="X165" s="1"/>
  <c r="S171"/>
  <c r="T171" s="1"/>
  <c r="X171" s="1"/>
  <c r="O172"/>
  <c r="S172" s="1"/>
  <c r="T172" s="1"/>
  <c r="X172" s="1"/>
  <c r="O173"/>
  <c r="S173" s="1"/>
  <c r="T173" s="1"/>
  <c r="X173" s="1"/>
  <c r="O174"/>
  <c r="S174" s="1"/>
  <c r="T174" s="1"/>
  <c r="X174" s="1"/>
  <c r="O175"/>
  <c r="S175" s="1"/>
  <c r="T175" s="1"/>
  <c r="X175" s="1"/>
  <c r="Z198"/>
  <c r="AA198" s="1"/>
  <c r="U198"/>
  <c r="W198" s="1"/>
  <c r="U205"/>
  <c r="W205" s="1"/>
  <c r="U207"/>
  <c r="W207" s="1"/>
  <c r="U211"/>
  <c r="W211" s="1"/>
  <c r="U213"/>
  <c r="W213" s="1"/>
  <c r="Z215"/>
  <c r="AA215" s="1"/>
  <c r="U215"/>
  <c r="W215" s="1"/>
  <c r="U219"/>
  <c r="W219" s="1"/>
  <c r="U221"/>
  <c r="W221" s="1"/>
  <c r="U231"/>
  <c r="W231" s="1"/>
  <c r="Z240"/>
  <c r="AA240" s="1"/>
  <c r="U240"/>
  <c r="W240" s="1"/>
  <c r="Z243"/>
  <c r="AA243" s="1"/>
  <c r="U243"/>
  <c r="W243" s="1"/>
  <c r="U253"/>
  <c r="W253" s="1"/>
  <c r="O8"/>
  <c r="S8" s="1"/>
  <c r="T8" s="1"/>
  <c r="X8" s="1"/>
  <c r="S11"/>
  <c r="T11" s="1"/>
  <c r="X11" s="1"/>
  <c r="O13"/>
  <c r="S13" s="1"/>
  <c r="T13" s="1"/>
  <c r="O14"/>
  <c r="S14" s="1"/>
  <c r="T14" s="1"/>
  <c r="X14" s="1"/>
  <c r="O16"/>
  <c r="S16" s="1"/>
  <c r="T16" s="1"/>
  <c r="X16" s="1"/>
  <c r="O17"/>
  <c r="S17" s="1"/>
  <c r="T17" s="1"/>
  <c r="X17" s="1"/>
  <c r="O19"/>
  <c r="S19" s="1"/>
  <c r="T19" s="1"/>
  <c r="X19" s="1"/>
  <c r="O20"/>
  <c r="S20" s="1"/>
  <c r="T20" s="1"/>
  <c r="X20" s="1"/>
  <c r="S21"/>
  <c r="T21" s="1"/>
  <c r="X21" s="1"/>
  <c r="O22"/>
  <c r="S22" s="1"/>
  <c r="T22" s="1"/>
  <c r="X22" s="1"/>
  <c r="O25"/>
  <c r="S25" s="1"/>
  <c r="T25" s="1"/>
  <c r="X25" s="1"/>
  <c r="O37"/>
  <c r="S37" s="1"/>
  <c r="T37" s="1"/>
  <c r="X37" s="1"/>
  <c r="U70"/>
  <c r="W70" s="1"/>
  <c r="O74"/>
  <c r="S74" s="1"/>
  <c r="T74" s="1"/>
  <c r="X74" s="1"/>
  <c r="O76"/>
  <c r="S76" s="1"/>
  <c r="T76" s="1"/>
  <c r="X76" s="1"/>
  <c r="O79"/>
  <c r="S79" s="1"/>
  <c r="T79" s="1"/>
  <c r="X79" s="1"/>
  <c r="U81"/>
  <c r="W81" s="1"/>
  <c r="U82"/>
  <c r="W82" s="1"/>
  <c r="U84"/>
  <c r="W84" s="1"/>
  <c r="Z84"/>
  <c r="AA84" s="1"/>
  <c r="U85"/>
  <c r="W85" s="1"/>
  <c r="Z85"/>
  <c r="AA85" s="1"/>
  <c r="U86"/>
  <c r="W86" s="1"/>
  <c r="U88"/>
  <c r="W88" s="1"/>
  <c r="U90"/>
  <c r="W90" s="1"/>
  <c r="U95"/>
  <c r="W95" s="1"/>
  <c r="Z95"/>
  <c r="AA95" s="1"/>
  <c r="U93"/>
  <c r="W93" s="1"/>
  <c r="O92"/>
  <c r="S92" s="1"/>
  <c r="T92" s="1"/>
  <c r="X92" s="1"/>
  <c r="AC92" s="1"/>
  <c r="U99"/>
  <c r="W99" s="1"/>
  <c r="O100"/>
  <c r="S100" s="1"/>
  <c r="T100" s="1"/>
  <c r="X100" s="1"/>
  <c r="O102"/>
  <c r="S102" s="1"/>
  <c r="T102" s="1"/>
  <c r="X102" s="1"/>
  <c r="O103"/>
  <c r="S103" s="1"/>
  <c r="T103" s="1"/>
  <c r="X103" s="1"/>
  <c r="O104"/>
  <c r="S104" s="1"/>
  <c r="T104" s="1"/>
  <c r="X104" s="1"/>
  <c r="O107"/>
  <c r="S107" s="1"/>
  <c r="T107" s="1"/>
  <c r="Z107" s="1"/>
  <c r="AA107" s="1"/>
  <c r="O110"/>
  <c r="S110" s="1"/>
  <c r="T110" s="1"/>
  <c r="X110" s="1"/>
  <c r="O111"/>
  <c r="S111" s="1"/>
  <c r="T111" s="1"/>
  <c r="X111" s="1"/>
  <c r="O112"/>
  <c r="S112" s="1"/>
  <c r="T112" s="1"/>
  <c r="X112" s="1"/>
  <c r="O114"/>
  <c r="S114" s="1"/>
  <c r="T114" s="1"/>
  <c r="X114" s="1"/>
  <c r="O116"/>
  <c r="S116" s="1"/>
  <c r="T116" s="1"/>
  <c r="O117"/>
  <c r="S117" s="1"/>
  <c r="T117" s="1"/>
  <c r="X117" s="1"/>
  <c r="O118"/>
  <c r="S118" s="1"/>
  <c r="T118" s="1"/>
  <c r="X118" s="1"/>
  <c r="O119"/>
  <c r="S119" s="1"/>
  <c r="T119" s="1"/>
  <c r="X119" s="1"/>
  <c r="O120"/>
  <c r="S120" s="1"/>
  <c r="T120" s="1"/>
  <c r="X120" s="1"/>
  <c r="O121"/>
  <c r="S121" s="1"/>
  <c r="T121" s="1"/>
  <c r="X121" s="1"/>
  <c r="O122"/>
  <c r="S122" s="1"/>
  <c r="T122" s="1"/>
  <c r="O123"/>
  <c r="S123" s="1"/>
  <c r="T123" s="1"/>
  <c r="X123" s="1"/>
  <c r="O124"/>
  <c r="S124" s="1"/>
  <c r="T124" s="1"/>
  <c r="X124" s="1"/>
  <c r="O125"/>
  <c r="S125" s="1"/>
  <c r="T125" s="1"/>
  <c r="X125" s="1"/>
  <c r="O126"/>
  <c r="S126" s="1"/>
  <c r="T126" s="1"/>
  <c r="X126" s="1"/>
  <c r="U128"/>
  <c r="W128" s="1"/>
  <c r="U130"/>
  <c r="W130" s="1"/>
  <c r="U131"/>
  <c r="W131" s="1"/>
  <c r="O136"/>
  <c r="S136" s="1"/>
  <c r="T136" s="1"/>
  <c r="X136" s="1"/>
  <c r="O135"/>
  <c r="S135" s="1"/>
  <c r="T135" s="1"/>
  <c r="X135" s="1"/>
  <c r="O137"/>
  <c r="S137" s="1"/>
  <c r="T137" s="1"/>
  <c r="X137" s="1"/>
  <c r="O139"/>
  <c r="S139" s="1"/>
  <c r="T139" s="1"/>
  <c r="X139" s="1"/>
  <c r="O138"/>
  <c r="S138" s="1"/>
  <c r="T138" s="1"/>
  <c r="X138" s="1"/>
  <c r="O141"/>
  <c r="S141" s="1"/>
  <c r="T141" s="1"/>
  <c r="X141" s="1"/>
  <c r="O144"/>
  <c r="S144" s="1"/>
  <c r="T144" s="1"/>
  <c r="X144" s="1"/>
  <c r="O145"/>
  <c r="S145" s="1"/>
  <c r="T145" s="1"/>
  <c r="X145" s="1"/>
  <c r="O146"/>
  <c r="S146" s="1"/>
  <c r="T146" s="1"/>
  <c r="X146" s="1"/>
  <c r="O147"/>
  <c r="S147" s="1"/>
  <c r="T147" s="1"/>
  <c r="X147" s="1"/>
  <c r="O148"/>
  <c r="S148" s="1"/>
  <c r="T148" s="1"/>
  <c r="X148" s="1"/>
  <c r="U155"/>
  <c r="W155" s="1"/>
  <c r="Z155"/>
  <c r="AA155" s="1"/>
  <c r="U154"/>
  <c r="W154" s="1"/>
  <c r="Z154"/>
  <c r="AA154" s="1"/>
  <c r="U153"/>
  <c r="W153" s="1"/>
  <c r="U156"/>
  <c r="W156" s="1"/>
  <c r="Z156"/>
  <c r="AA156" s="1"/>
  <c r="U157"/>
  <c r="W157" s="1"/>
  <c r="U163"/>
  <c r="W163" s="1"/>
  <c r="U203"/>
  <c r="W203" s="1"/>
  <c r="U204"/>
  <c r="W204" s="1"/>
  <c r="U206"/>
  <c r="W206" s="1"/>
  <c r="U208"/>
  <c r="W208" s="1"/>
  <c r="Z212"/>
  <c r="AA212" s="1"/>
  <c r="U212"/>
  <c r="W212" s="1"/>
  <c r="U217"/>
  <c r="W217" s="1"/>
  <c r="U237"/>
  <c r="W237" s="1"/>
  <c r="Z239"/>
  <c r="AA239" s="1"/>
  <c r="U239"/>
  <c r="W239" s="1"/>
  <c r="Z246"/>
  <c r="AA246" s="1"/>
  <c r="U246"/>
  <c r="W246" s="1"/>
  <c r="Z251"/>
  <c r="AA251" s="1"/>
  <c r="U251"/>
  <c r="W251" s="1"/>
  <c r="U252"/>
  <c r="W252" s="1"/>
  <c r="U260"/>
  <c r="W260" s="1"/>
  <c r="U265"/>
  <c r="W265" s="1"/>
  <c r="AL91"/>
  <c r="E13" i="2"/>
  <c r="E14"/>
  <c r="AL92" i="1"/>
  <c r="E15" i="2"/>
  <c r="AL126" i="1"/>
  <c r="AP129"/>
  <c r="AP3" s="1"/>
  <c r="E17" i="2"/>
  <c r="E20"/>
  <c r="AL139" i="1"/>
  <c r="O160"/>
  <c r="S160" s="1"/>
  <c r="T160" s="1"/>
  <c r="X160" s="1"/>
  <c r="O166"/>
  <c r="S166" s="1"/>
  <c r="T166" s="1"/>
  <c r="X166" s="1"/>
  <c r="O167"/>
  <c r="S167" s="1"/>
  <c r="T167" s="1"/>
  <c r="X167" s="1"/>
  <c r="O168"/>
  <c r="S168" s="1"/>
  <c r="T168" s="1"/>
  <c r="X168" s="1"/>
  <c r="AL170"/>
  <c r="E22" i="2"/>
  <c r="O169" i="1"/>
  <c r="S169" s="1"/>
  <c r="T169" s="1"/>
  <c r="X169" s="1"/>
  <c r="O176"/>
  <c r="S176" s="1"/>
  <c r="T176" s="1"/>
  <c r="X176" s="1"/>
  <c r="O177"/>
  <c r="S177" s="1"/>
  <c r="T177" s="1"/>
  <c r="X177" s="1"/>
  <c r="O178"/>
  <c r="S178" s="1"/>
  <c r="T178" s="1"/>
  <c r="X178" s="1"/>
  <c r="O181"/>
  <c r="S181" s="1"/>
  <c r="T181" s="1"/>
  <c r="X181" s="1"/>
  <c r="O188"/>
  <c r="S188" s="1"/>
  <c r="T188" s="1"/>
  <c r="X188" s="1"/>
  <c r="U189"/>
  <c r="W189" s="1"/>
  <c r="Z189"/>
  <c r="AA189" s="1"/>
  <c r="U190"/>
  <c r="W190" s="1"/>
  <c r="O193"/>
  <c r="S193" s="1"/>
  <c r="T193" s="1"/>
  <c r="X193" s="1"/>
  <c r="O194"/>
  <c r="S194" s="1"/>
  <c r="T194" s="1"/>
  <c r="X194" s="1"/>
  <c r="O195"/>
  <c r="S195" s="1"/>
  <c r="T195" s="1"/>
  <c r="X195" s="1"/>
  <c r="O196"/>
  <c r="S196" s="1"/>
  <c r="T196" s="1"/>
  <c r="X196" s="1"/>
  <c r="AL197"/>
  <c r="E25" i="2"/>
  <c r="O199" i="1"/>
  <c r="S199" s="1"/>
  <c r="T199" s="1"/>
  <c r="X199" s="1"/>
  <c r="U200"/>
  <c r="W200" s="1"/>
  <c r="U209"/>
  <c r="W209" s="1"/>
  <c r="Z209"/>
  <c r="AA209" s="1"/>
  <c r="U210"/>
  <c r="W210" s="1"/>
  <c r="U214"/>
  <c r="W214" s="1"/>
  <c r="S218"/>
  <c r="T218" s="1"/>
  <c r="X218" s="1"/>
  <c r="U220"/>
  <c r="W220" s="1"/>
  <c r="S222"/>
  <c r="T222" s="1"/>
  <c r="X222" s="1"/>
  <c r="S223"/>
  <c r="T223" s="1"/>
  <c r="X223" s="1"/>
  <c r="U224"/>
  <c r="W224" s="1"/>
  <c r="Z224"/>
  <c r="AA224" s="1"/>
  <c r="U225"/>
  <c r="W225" s="1"/>
  <c r="Z225"/>
  <c r="AA225" s="1"/>
  <c r="U226"/>
  <c r="W226" s="1"/>
  <c r="U228"/>
  <c r="W228" s="1"/>
  <c r="S232"/>
  <c r="T232" s="1"/>
  <c r="X232" s="1"/>
  <c r="U233"/>
  <c r="W233" s="1"/>
  <c r="Z233"/>
  <c r="AA233" s="1"/>
  <c r="U234"/>
  <c r="W234" s="1"/>
  <c r="U238"/>
  <c r="W238" s="1"/>
  <c r="S244"/>
  <c r="T244" s="1"/>
  <c r="X244" s="1"/>
  <c r="S245"/>
  <c r="T245" s="1"/>
  <c r="X245" s="1"/>
  <c r="S249"/>
  <c r="T249" s="1"/>
  <c r="X249" s="1"/>
  <c r="S250"/>
  <c r="T250" s="1"/>
  <c r="X250" s="1"/>
  <c r="S255"/>
  <c r="T255" s="1"/>
  <c r="X255" s="1"/>
  <c r="S257"/>
  <c r="T257" s="1"/>
  <c r="X257" s="1"/>
  <c r="S261"/>
  <c r="T261" s="1"/>
  <c r="S262"/>
  <c r="T262" s="1"/>
  <c r="X262" s="1"/>
  <c r="S263"/>
  <c r="T263" s="1"/>
  <c r="X263" s="1"/>
  <c r="U264"/>
  <c r="W264" s="1"/>
  <c r="U267"/>
  <c r="W267" s="1"/>
  <c r="O179"/>
  <c r="S179" s="1"/>
  <c r="T179" s="1"/>
  <c r="X179" s="1"/>
  <c r="O180"/>
  <c r="S180" s="1"/>
  <c r="T180" s="1"/>
  <c r="X180" s="1"/>
  <c r="O182"/>
  <c r="S182" s="1"/>
  <c r="T182" s="1"/>
  <c r="X182" s="1"/>
  <c r="O183"/>
  <c r="S183" s="1"/>
  <c r="T183" s="1"/>
  <c r="X183" s="1"/>
  <c r="O184"/>
  <c r="S184" s="1"/>
  <c r="T184" s="1"/>
  <c r="X184" s="1"/>
  <c r="O185"/>
  <c r="S185" s="1"/>
  <c r="T185" s="1"/>
  <c r="X185" s="1"/>
  <c r="O186"/>
  <c r="S186" s="1"/>
  <c r="T186" s="1"/>
  <c r="X186" s="1"/>
  <c r="O187"/>
  <c r="S187" s="1"/>
  <c r="T187" s="1"/>
  <c r="X187" s="1"/>
  <c r="O191"/>
  <c r="S191" s="1"/>
  <c r="T191" s="1"/>
  <c r="X191" s="1"/>
  <c r="O192"/>
  <c r="S192" s="1"/>
  <c r="T192" s="1"/>
  <c r="X192" s="1"/>
  <c r="O197"/>
  <c r="S197" s="1"/>
  <c r="T197" s="1"/>
  <c r="O201"/>
  <c r="S201" s="1"/>
  <c r="T201" s="1"/>
  <c r="X201" s="1"/>
  <c r="O202"/>
  <c r="S202" s="1"/>
  <c r="T202" s="1"/>
  <c r="X202" s="1"/>
  <c r="AP218"/>
  <c r="E27" i="2"/>
  <c r="S227" i="1"/>
  <c r="T227" s="1"/>
  <c r="X227" s="1"/>
  <c r="S229"/>
  <c r="T229" s="1"/>
  <c r="X229" s="1"/>
  <c r="S230"/>
  <c r="T230" s="1"/>
  <c r="X230" s="1"/>
  <c r="S241"/>
  <c r="T241" s="1"/>
  <c r="X241" s="1"/>
  <c r="AL241"/>
  <c r="E31" i="2"/>
  <c r="S242" i="1"/>
  <c r="T242" s="1"/>
  <c r="X242" s="1"/>
  <c r="S254"/>
  <c r="T254" s="1"/>
  <c r="S256"/>
  <c r="T256" s="1"/>
  <c r="X256" s="1"/>
  <c r="S258"/>
  <c r="T258" s="1"/>
  <c r="X258" s="1"/>
  <c r="S259"/>
  <c r="T259" s="1"/>
  <c r="X259" s="1"/>
  <c r="S266"/>
  <c r="T266" s="1"/>
  <c r="E23" i="2"/>
  <c r="AL169" i="1"/>
  <c r="E24" i="2"/>
  <c r="AL189" i="1"/>
  <c r="AL205"/>
  <c r="E26" i="2"/>
  <c r="AL227" i="1"/>
  <c r="AL238"/>
  <c r="E29" i="2"/>
  <c r="AL240" i="1"/>
  <c r="E30" i="2"/>
  <c r="AL250" i="1"/>
  <c r="E32" i="2"/>
  <c r="AL251" i="1"/>
  <c r="E33" i="2"/>
  <c r="E34"/>
  <c r="AL265" i="1"/>
  <c r="E35" i="2"/>
  <c r="E36"/>
  <c r="E37"/>
  <c r="E39"/>
  <c r="E38"/>
  <c r="E41"/>
  <c r="E40"/>
  <c r="E42"/>
  <c r="E45"/>
  <c r="E49"/>
  <c r="E51"/>
  <c r="E46"/>
  <c r="E47"/>
  <c r="E52"/>
  <c r="E54"/>
  <c r="E48"/>
  <c r="AC240" i="1" l="1"/>
  <c r="AC205"/>
  <c r="C26" i="2" s="1"/>
  <c r="AC238" i="1"/>
  <c r="AC227"/>
  <c r="AC169"/>
  <c r="AC189"/>
  <c r="C24" i="2" s="1"/>
  <c r="AD189" i="1"/>
  <c r="AC135"/>
  <c r="AC265"/>
  <c r="AC130"/>
  <c r="AC127"/>
  <c r="C16" i="2" s="1"/>
  <c r="AC79" i="1"/>
  <c r="C12" i="2" s="1"/>
  <c r="C13"/>
  <c r="V159" i="1"/>
  <c r="W159"/>
  <c r="T61"/>
  <c r="X61" s="1"/>
  <c r="AC72" s="1"/>
  <c r="X35"/>
  <c r="X13"/>
  <c r="AD41"/>
  <c r="T49"/>
  <c r="AD49" s="1"/>
  <c r="D53" i="2"/>
  <c r="X116" i="1"/>
  <c r="C53" i="2"/>
  <c r="X122" i="1"/>
  <c r="AD122"/>
  <c r="X266"/>
  <c r="AD266"/>
  <c r="X261"/>
  <c r="AC261" s="1"/>
  <c r="AD261"/>
  <c r="X197"/>
  <c r="AC197" s="1"/>
  <c r="AD197"/>
  <c r="X254"/>
  <c r="AD254"/>
  <c r="X43"/>
  <c r="X9"/>
  <c r="AC41" s="1"/>
  <c r="D48" i="2"/>
  <c r="D46"/>
  <c r="D43"/>
  <c r="D42"/>
  <c r="D51"/>
  <c r="D44"/>
  <c r="E8"/>
  <c r="E9"/>
  <c r="C54"/>
  <c r="X107" i="1"/>
  <c r="AD92"/>
  <c r="D14" i="2" s="1"/>
  <c r="C49"/>
  <c r="C14"/>
  <c r="AD79" i="1"/>
  <c r="C44" i="2"/>
  <c r="AD169" i="1"/>
  <c r="AD238"/>
  <c r="U266"/>
  <c r="W266" s="1"/>
  <c r="U259"/>
  <c r="W259" s="1"/>
  <c r="Z256"/>
  <c r="AA256" s="1"/>
  <c r="U256"/>
  <c r="W256" s="1"/>
  <c r="AD250"/>
  <c r="U242"/>
  <c r="W242" s="1"/>
  <c r="AD240"/>
  <c r="U230"/>
  <c r="W230" s="1"/>
  <c r="U227"/>
  <c r="W227" s="1"/>
  <c r="U201"/>
  <c r="W201" s="1"/>
  <c r="U192"/>
  <c r="W192" s="1"/>
  <c r="Z187"/>
  <c r="AA187" s="1"/>
  <c r="U187"/>
  <c r="W187" s="1"/>
  <c r="U185"/>
  <c r="W185" s="1"/>
  <c r="U183"/>
  <c r="W183" s="1"/>
  <c r="Z180"/>
  <c r="AA180" s="1"/>
  <c r="U180"/>
  <c r="W180" s="1"/>
  <c r="V267"/>
  <c r="V264"/>
  <c r="U262"/>
  <c r="W262" s="1"/>
  <c r="AD265"/>
  <c r="Z255"/>
  <c r="AA255" s="1"/>
  <c r="U255"/>
  <c r="W255" s="1"/>
  <c r="AD251"/>
  <c r="AC251"/>
  <c r="C33" i="2" s="1"/>
  <c r="U249" i="1"/>
  <c r="W249" s="1"/>
  <c r="U244"/>
  <c r="W244" s="1"/>
  <c r="U232"/>
  <c r="W232" s="1"/>
  <c r="V228"/>
  <c r="U223"/>
  <c r="W223" s="1"/>
  <c r="V214"/>
  <c r="V210"/>
  <c r="V209"/>
  <c r="V200"/>
  <c r="Z196"/>
  <c r="AA196" s="1"/>
  <c r="U196"/>
  <c r="W196" s="1"/>
  <c r="U194"/>
  <c r="W194" s="1"/>
  <c r="V190"/>
  <c r="V189"/>
  <c r="Z181"/>
  <c r="AA181" s="1"/>
  <c r="U181"/>
  <c r="W181" s="1"/>
  <c r="U177"/>
  <c r="W177" s="1"/>
  <c r="U169"/>
  <c r="W169" s="1"/>
  <c r="U167"/>
  <c r="W167" s="1"/>
  <c r="U160"/>
  <c r="W160" s="1"/>
  <c r="V260"/>
  <c r="V252"/>
  <c r="V251"/>
  <c r="V239"/>
  <c r="V208"/>
  <c r="V206"/>
  <c r="V163"/>
  <c r="V157"/>
  <c r="V156"/>
  <c r="V154"/>
  <c r="V155"/>
  <c r="U147"/>
  <c r="W147" s="1"/>
  <c r="U145"/>
  <c r="W145" s="1"/>
  <c r="U138"/>
  <c r="W138" s="1"/>
  <c r="U137"/>
  <c r="W137" s="1"/>
  <c r="U136"/>
  <c r="W136" s="1"/>
  <c r="V130"/>
  <c r="AD126"/>
  <c r="AC126"/>
  <c r="C15" i="2" s="1"/>
  <c r="U126" i="1"/>
  <c r="W126" s="1"/>
  <c r="U124"/>
  <c r="W124" s="1"/>
  <c r="U122"/>
  <c r="W122" s="1"/>
  <c r="U120"/>
  <c r="W120" s="1"/>
  <c r="U118"/>
  <c r="W118" s="1"/>
  <c r="U116"/>
  <c r="W116" s="1"/>
  <c r="Z112"/>
  <c r="AA112" s="1"/>
  <c r="U112"/>
  <c r="W112" s="1"/>
  <c r="U110"/>
  <c r="W110" s="1"/>
  <c r="Z104"/>
  <c r="AA104" s="1"/>
  <c r="U104"/>
  <c r="W104" s="1"/>
  <c r="U102"/>
  <c r="W102" s="1"/>
  <c r="V99"/>
  <c r="U92"/>
  <c r="W92" s="1"/>
  <c r="V82"/>
  <c r="V81"/>
  <c r="U79"/>
  <c r="W79" s="1"/>
  <c r="U25"/>
  <c r="W25" s="1"/>
  <c r="U21"/>
  <c r="W21" s="1"/>
  <c r="Z19"/>
  <c r="AA19" s="1"/>
  <c r="U19"/>
  <c r="W19" s="1"/>
  <c r="Z16"/>
  <c r="AA16" s="1"/>
  <c r="U16"/>
  <c r="W16" s="1"/>
  <c r="Z13"/>
  <c r="AA13" s="1"/>
  <c r="U13"/>
  <c r="W13" s="1"/>
  <c r="U8"/>
  <c r="W8" s="1"/>
  <c r="V253"/>
  <c r="V243"/>
  <c r="V231"/>
  <c r="V221"/>
  <c r="V219"/>
  <c r="V215"/>
  <c r="V207"/>
  <c r="V205"/>
  <c r="V198"/>
  <c r="Z175"/>
  <c r="AA175" s="1"/>
  <c r="U175"/>
  <c r="W175" s="1"/>
  <c r="U173"/>
  <c r="W173" s="1"/>
  <c r="U171"/>
  <c r="W171" s="1"/>
  <c r="U164"/>
  <c r="W164" s="1"/>
  <c r="Z151"/>
  <c r="AA151" s="1"/>
  <c r="U151"/>
  <c r="W151" s="1"/>
  <c r="U149"/>
  <c r="W149" s="1"/>
  <c r="Z140"/>
  <c r="AA140" s="1"/>
  <c r="U140"/>
  <c r="W140" s="1"/>
  <c r="AD151"/>
  <c r="O134"/>
  <c r="S134" s="1"/>
  <c r="T134" s="1"/>
  <c r="X134" s="1"/>
  <c r="Z109"/>
  <c r="AA109" s="1"/>
  <c r="U109"/>
  <c r="W109" s="1"/>
  <c r="AD127"/>
  <c r="Z106"/>
  <c r="AA106" s="1"/>
  <c r="U106"/>
  <c r="W106" s="1"/>
  <c r="U78"/>
  <c r="W78" s="1"/>
  <c r="U77"/>
  <c r="W77" s="1"/>
  <c r="U66"/>
  <c r="W66" s="1"/>
  <c r="U64"/>
  <c r="W64" s="1"/>
  <c r="Z62"/>
  <c r="AA62" s="1"/>
  <c r="U62"/>
  <c r="W62" s="1"/>
  <c r="Z60"/>
  <c r="AA60" s="1"/>
  <c r="U60"/>
  <c r="W60" s="1"/>
  <c r="U58"/>
  <c r="W58" s="1"/>
  <c r="U51"/>
  <c r="W51" s="1"/>
  <c r="U43"/>
  <c r="W43" s="1"/>
  <c r="U42"/>
  <c r="W42" s="1"/>
  <c r="U39"/>
  <c r="W39" s="1"/>
  <c r="Z18"/>
  <c r="AA18" s="1"/>
  <c r="U18"/>
  <c r="W18" s="1"/>
  <c r="U12"/>
  <c r="W12" s="1"/>
  <c r="U7"/>
  <c r="W7" s="1"/>
  <c r="V158"/>
  <c r="V98"/>
  <c r="V80"/>
  <c r="U34"/>
  <c r="W34" s="1"/>
  <c r="U26"/>
  <c r="W26" s="1"/>
  <c r="U32"/>
  <c r="W32" s="1"/>
  <c r="V143"/>
  <c r="V133"/>
  <c r="AD135"/>
  <c r="V96"/>
  <c r="V75"/>
  <c r="V69"/>
  <c r="V28"/>
  <c r="C48" i="2"/>
  <c r="C47"/>
  <c r="C52"/>
  <c r="C43"/>
  <c r="C42"/>
  <c r="C37"/>
  <c r="S268" i="1"/>
  <c r="T268" s="1"/>
  <c r="X268" s="1"/>
  <c r="U258"/>
  <c r="W258" s="1"/>
  <c r="U254"/>
  <c r="W254" s="1"/>
  <c r="Z241"/>
  <c r="AA241" s="1"/>
  <c r="U241"/>
  <c r="W241" s="1"/>
  <c r="AD241"/>
  <c r="AC241"/>
  <c r="C31" i="2" s="1"/>
  <c r="U229" i="1"/>
  <c r="W229" s="1"/>
  <c r="AD227"/>
  <c r="U202"/>
  <c r="W202" s="1"/>
  <c r="U197"/>
  <c r="W197" s="1"/>
  <c r="U191"/>
  <c r="W191" s="1"/>
  <c r="U186"/>
  <c r="W186" s="1"/>
  <c r="U184"/>
  <c r="W184" s="1"/>
  <c r="U182"/>
  <c r="W182" s="1"/>
  <c r="U179"/>
  <c r="W179" s="1"/>
  <c r="U263"/>
  <c r="W263" s="1"/>
  <c r="U261"/>
  <c r="W261" s="1"/>
  <c r="Z257"/>
  <c r="AA257" s="1"/>
  <c r="U257"/>
  <c r="W257" s="1"/>
  <c r="U250"/>
  <c r="W250" s="1"/>
  <c r="Z245"/>
  <c r="AA245" s="1"/>
  <c r="U245"/>
  <c r="W245" s="1"/>
  <c r="V238"/>
  <c r="V234"/>
  <c r="V233"/>
  <c r="V226"/>
  <c r="V225"/>
  <c r="V224"/>
  <c r="U222"/>
  <c r="W222" s="1"/>
  <c r="V220"/>
  <c r="U218"/>
  <c r="W218" s="1"/>
  <c r="AC218"/>
  <c r="C27" i="2" s="1"/>
  <c r="AD218" i="1"/>
  <c r="U199"/>
  <c r="W199" s="1"/>
  <c r="U195"/>
  <c r="W195" s="1"/>
  <c r="U193"/>
  <c r="W193" s="1"/>
  <c r="U188"/>
  <c r="W188" s="1"/>
  <c r="Z178"/>
  <c r="AA178" s="1"/>
  <c r="U178"/>
  <c r="W178" s="1"/>
  <c r="U176"/>
  <c r="W176" s="1"/>
  <c r="U168"/>
  <c r="W168" s="1"/>
  <c r="Z168"/>
  <c r="AA168" s="1"/>
  <c r="U166"/>
  <c r="W166" s="1"/>
  <c r="V265"/>
  <c r="V246"/>
  <c r="V237"/>
  <c r="V217"/>
  <c r="V212"/>
  <c r="V204"/>
  <c r="V203"/>
  <c r="AD170"/>
  <c r="V153"/>
  <c r="Z148"/>
  <c r="AA148" s="1"/>
  <c r="U148"/>
  <c r="W148" s="1"/>
  <c r="U146"/>
  <c r="W146" s="1"/>
  <c r="U144"/>
  <c r="W144" s="1"/>
  <c r="Z141"/>
  <c r="AA141" s="1"/>
  <c r="U141"/>
  <c r="W141" s="1"/>
  <c r="U139"/>
  <c r="W139" s="1"/>
  <c r="U135"/>
  <c r="W135" s="1"/>
  <c r="V131"/>
  <c r="V128"/>
  <c r="AD129"/>
  <c r="U125"/>
  <c r="W125" s="1"/>
  <c r="AC129"/>
  <c r="C17" i="2" s="1"/>
  <c r="U123" i="1"/>
  <c r="W123" s="1"/>
  <c r="U121"/>
  <c r="W121" s="1"/>
  <c r="U119"/>
  <c r="W119" s="1"/>
  <c r="U117"/>
  <c r="W117" s="1"/>
  <c r="U114"/>
  <c r="W114" s="1"/>
  <c r="U111"/>
  <c r="W111" s="1"/>
  <c r="U107"/>
  <c r="W107" s="1"/>
  <c r="U103"/>
  <c r="W103" s="1"/>
  <c r="Z100"/>
  <c r="AA100" s="1"/>
  <c r="U100"/>
  <c r="W100" s="1"/>
  <c r="V93"/>
  <c r="V95"/>
  <c r="V90"/>
  <c r="V88"/>
  <c r="V86"/>
  <c r="V85"/>
  <c r="V84"/>
  <c r="Z76"/>
  <c r="AA76" s="1"/>
  <c r="U76"/>
  <c r="W76" s="1"/>
  <c r="Z74"/>
  <c r="AA74" s="1"/>
  <c r="U74"/>
  <c r="W74" s="1"/>
  <c r="V70"/>
  <c r="U37"/>
  <c r="W37" s="1"/>
  <c r="U22"/>
  <c r="W22" s="1"/>
  <c r="U20"/>
  <c r="W20" s="1"/>
  <c r="U17"/>
  <c r="W17" s="1"/>
  <c r="U14"/>
  <c r="W14" s="1"/>
  <c r="U11"/>
  <c r="W11" s="1"/>
  <c r="V240"/>
  <c r="V213"/>
  <c r="V211"/>
  <c r="AD205"/>
  <c r="U174"/>
  <c r="W174" s="1"/>
  <c r="U172"/>
  <c r="W172" s="1"/>
  <c r="Z165"/>
  <c r="AA165" s="1"/>
  <c r="U165"/>
  <c r="W165" s="1"/>
  <c r="V161"/>
  <c r="U150"/>
  <c r="W150" s="1"/>
  <c r="U142"/>
  <c r="W142" s="1"/>
  <c r="Z113"/>
  <c r="AA113" s="1"/>
  <c r="U113"/>
  <c r="W113" s="1"/>
  <c r="U108"/>
  <c r="W108" s="1"/>
  <c r="Z101"/>
  <c r="AA101" s="1"/>
  <c r="U101"/>
  <c r="W101" s="1"/>
  <c r="U67"/>
  <c r="W67" s="1"/>
  <c r="Z65"/>
  <c r="AA65" s="1"/>
  <c r="U65"/>
  <c r="W65" s="1"/>
  <c r="Z63"/>
  <c r="AA63" s="1"/>
  <c r="U63"/>
  <c r="W63" s="1"/>
  <c r="AL3"/>
  <c r="U59"/>
  <c r="W59" s="1"/>
  <c r="Z57"/>
  <c r="AA57" s="1"/>
  <c r="U57"/>
  <c r="W57" s="1"/>
  <c r="U9"/>
  <c r="W9" s="1"/>
  <c r="U41"/>
  <c r="W41" s="1"/>
  <c r="U40"/>
  <c r="W40" s="1"/>
  <c r="U38"/>
  <c r="W38" s="1"/>
  <c r="U15"/>
  <c r="W15" s="1"/>
  <c r="U10"/>
  <c r="W10" s="1"/>
  <c r="Z6"/>
  <c r="AA6" s="1"/>
  <c r="U6"/>
  <c r="W6" s="1"/>
  <c r="V162"/>
  <c r="V132"/>
  <c r="V97"/>
  <c r="V94"/>
  <c r="V83"/>
  <c r="V73"/>
  <c r="V72"/>
  <c r="V71"/>
  <c r="V68"/>
  <c r="U55"/>
  <c r="W55" s="1"/>
  <c r="Z53"/>
  <c r="AA53" s="1"/>
  <c r="U53"/>
  <c r="W53" s="1"/>
  <c r="U50"/>
  <c r="W50" s="1"/>
  <c r="Z45"/>
  <c r="AA45" s="1"/>
  <c r="U45"/>
  <c r="W45" s="1"/>
  <c r="Z46"/>
  <c r="AA46" s="1"/>
  <c r="U46"/>
  <c r="W46" s="1"/>
  <c r="V36"/>
  <c r="V27"/>
  <c r="V170"/>
  <c r="V152"/>
  <c r="V129"/>
  <c r="V127"/>
  <c r="V105"/>
  <c r="V91"/>
  <c r="V89"/>
  <c r="V87"/>
  <c r="U56"/>
  <c r="W56" s="1"/>
  <c r="U54"/>
  <c r="W54" s="1"/>
  <c r="U52"/>
  <c r="W52" s="1"/>
  <c r="Z48"/>
  <c r="AA48" s="1"/>
  <c r="U48"/>
  <c r="W48" s="1"/>
  <c r="U47"/>
  <c r="W47" s="1"/>
  <c r="Z35"/>
  <c r="AA35" s="1"/>
  <c r="U35"/>
  <c r="W35" s="1"/>
  <c r="U33"/>
  <c r="W33" s="1"/>
  <c r="Z31"/>
  <c r="AA31" s="1"/>
  <c r="U31"/>
  <c r="W31" s="1"/>
  <c r="Z29"/>
  <c r="AA29" s="1"/>
  <c r="U29"/>
  <c r="W29" s="1"/>
  <c r="V44"/>
  <c r="C50" i="2" l="1"/>
  <c r="AC122" i="1"/>
  <c r="C18" i="2" s="1"/>
  <c r="U61" i="1"/>
  <c r="AD72"/>
  <c r="U49"/>
  <c r="W49" s="1"/>
  <c r="X49"/>
  <c r="AC49" s="1"/>
  <c r="C39" i="2"/>
  <c r="C8"/>
  <c r="AH63" i="1"/>
  <c r="D11" i="2"/>
  <c r="AH151" i="1"/>
  <c r="D21" i="2"/>
  <c r="AH265" i="1"/>
  <c r="D34" i="2"/>
  <c r="AH250" i="1"/>
  <c r="D32" i="2"/>
  <c r="AH122" i="1"/>
  <c r="D18" i="2"/>
  <c r="AH218" i="1"/>
  <c r="D27" i="2"/>
  <c r="AH135" i="1"/>
  <c r="D19" i="2"/>
  <c r="D37"/>
  <c r="D49"/>
  <c r="AH129" i="1"/>
  <c r="D17" i="2"/>
  <c r="AH241" i="1"/>
  <c r="D31" i="2"/>
  <c r="D52"/>
  <c r="D47"/>
  <c r="D54"/>
  <c r="AH189" i="1"/>
  <c r="D24" i="2"/>
  <c r="AH240" i="1"/>
  <c r="D30" i="2"/>
  <c r="AH169" i="1"/>
  <c r="D23" i="2"/>
  <c r="AH205" i="1"/>
  <c r="D26" i="2"/>
  <c r="AH127" i="1"/>
  <c r="D16" i="2"/>
  <c r="AH62" i="1"/>
  <c r="D10" i="2"/>
  <c r="AH227" i="1"/>
  <c r="D28" i="2"/>
  <c r="AH197" i="1"/>
  <c r="D25" i="2"/>
  <c r="AH126" i="1"/>
  <c r="D15" i="2"/>
  <c r="AH170" i="1"/>
  <c r="D22" i="2"/>
  <c r="D40"/>
  <c r="AH251" i="1"/>
  <c r="D33" i="2"/>
  <c r="AH238" i="1"/>
  <c r="D29" i="2"/>
  <c r="AH79" i="1"/>
  <c r="D12" i="2"/>
  <c r="AH91" i="1"/>
  <c r="D13" i="2"/>
  <c r="D50"/>
  <c r="AH92" i="1"/>
  <c r="AH49"/>
  <c r="D9" i="2"/>
  <c r="AH41" i="1"/>
  <c r="D8" i="2"/>
  <c r="C41"/>
  <c r="AD139" i="1"/>
  <c r="AC170"/>
  <c r="C22" i="2" s="1"/>
  <c r="C19"/>
  <c r="C29"/>
  <c r="C40"/>
  <c r="C11"/>
  <c r="C10"/>
  <c r="C23"/>
  <c r="C30"/>
  <c r="V29" i="1"/>
  <c r="V33"/>
  <c r="V35"/>
  <c r="V52"/>
  <c r="V54"/>
  <c r="V56"/>
  <c r="V45"/>
  <c r="V55"/>
  <c r="V6"/>
  <c r="V57"/>
  <c r="V63"/>
  <c r="V101"/>
  <c r="V142"/>
  <c r="V150"/>
  <c r="V165"/>
  <c r="V11"/>
  <c r="V14"/>
  <c r="V17"/>
  <c r="V20"/>
  <c r="V22"/>
  <c r="V37"/>
  <c r="V100"/>
  <c r="V103"/>
  <c r="V107"/>
  <c r="V119"/>
  <c r="V121"/>
  <c r="V125"/>
  <c r="V144"/>
  <c r="V146"/>
  <c r="V148"/>
  <c r="V166"/>
  <c r="V168"/>
  <c r="V188"/>
  <c r="V193"/>
  <c r="V195"/>
  <c r="V222"/>
  <c r="V245"/>
  <c r="V257"/>
  <c r="V179"/>
  <c r="V182"/>
  <c r="V184"/>
  <c r="V186"/>
  <c r="V191"/>
  <c r="V197"/>
  <c r="V202"/>
  <c r="V241"/>
  <c r="C35" i="2"/>
  <c r="Z268" i="1"/>
  <c r="AA268" s="1"/>
  <c r="U268"/>
  <c r="W268" s="1"/>
  <c r="C38" i="2"/>
  <c r="V7" i="1"/>
  <c r="V39"/>
  <c r="V42"/>
  <c r="V43"/>
  <c r="V51"/>
  <c r="V62"/>
  <c r="V77"/>
  <c r="V78"/>
  <c r="V106"/>
  <c r="V109"/>
  <c r="AC139"/>
  <c r="C20" i="2" s="1"/>
  <c r="U134" i="1"/>
  <c r="W134" s="1"/>
  <c r="V149"/>
  <c r="V151"/>
  <c r="V164"/>
  <c r="V175"/>
  <c r="V8"/>
  <c r="V13"/>
  <c r="V19"/>
  <c r="V92"/>
  <c r="V104"/>
  <c r="V110"/>
  <c r="V112"/>
  <c r="V120"/>
  <c r="V122"/>
  <c r="V124"/>
  <c r="V126"/>
  <c r="V136"/>
  <c r="V137"/>
  <c r="V138"/>
  <c r="V145"/>
  <c r="V147"/>
  <c r="V160"/>
  <c r="V167"/>
  <c r="V177"/>
  <c r="V181"/>
  <c r="V223"/>
  <c r="V232"/>
  <c r="C34" i="2"/>
  <c r="V183" i="1"/>
  <c r="V185"/>
  <c r="V187"/>
  <c r="V242"/>
  <c r="V259"/>
  <c r="V266"/>
  <c r="C36" i="2"/>
  <c r="V31" i="1"/>
  <c r="V47"/>
  <c r="V48"/>
  <c r="V46"/>
  <c r="V50"/>
  <c r="V53"/>
  <c r="V10"/>
  <c r="V15"/>
  <c r="V38"/>
  <c r="V40"/>
  <c r="V41"/>
  <c r="V9"/>
  <c r="V59"/>
  <c r="V65"/>
  <c r="V67"/>
  <c r="V108"/>
  <c r="V113"/>
  <c r="V172"/>
  <c r="V174"/>
  <c r="V74"/>
  <c r="V76"/>
  <c r="V111"/>
  <c r="V114"/>
  <c r="V117"/>
  <c r="V123"/>
  <c r="V135"/>
  <c r="V139"/>
  <c r="V141"/>
  <c r="V176"/>
  <c r="V178"/>
  <c r="V199"/>
  <c r="V218"/>
  <c r="V250"/>
  <c r="V261"/>
  <c r="V263"/>
  <c r="C28" i="2"/>
  <c r="V229" i="1"/>
  <c r="V254"/>
  <c r="V258"/>
  <c r="V32"/>
  <c r="V26"/>
  <c r="V34"/>
  <c r="V12"/>
  <c r="V18"/>
  <c r="V58"/>
  <c r="V60"/>
  <c r="V64"/>
  <c r="V66"/>
  <c r="AC151"/>
  <c r="C21" i="2" s="1"/>
  <c r="V140" i="1"/>
  <c r="C25" i="2"/>
  <c r="V171" i="1"/>
  <c r="V173"/>
  <c r="V16"/>
  <c r="V21"/>
  <c r="V25"/>
  <c r="V79"/>
  <c r="V102"/>
  <c r="V116"/>
  <c r="V118"/>
  <c r="V169"/>
  <c r="V194"/>
  <c r="V196"/>
  <c r="V244"/>
  <c r="V249"/>
  <c r="V255"/>
  <c r="V262"/>
  <c r="V180"/>
  <c r="V192"/>
  <c r="V201"/>
  <c r="V227"/>
  <c r="V230"/>
  <c r="AC250"/>
  <c r="C32" i="2" s="1"/>
  <c r="V256" i="1"/>
  <c r="V61" l="1"/>
  <c r="W61"/>
  <c r="V49"/>
  <c r="D39" i="2"/>
  <c r="D36"/>
  <c r="D38"/>
  <c r="D35"/>
  <c r="D41"/>
  <c r="AH139" i="1"/>
  <c r="D20" i="2"/>
  <c r="D45"/>
  <c r="C9"/>
  <c r="V134" i="1"/>
  <c r="V268"/>
  <c r="C45" i="2" l="1"/>
  <c r="C12" i="4"/>
  <c r="K5" i="1" l="1"/>
  <c r="O5"/>
  <c r="S5" l="1"/>
  <c r="T5" s="1"/>
  <c r="U5" s="1"/>
  <c r="AD116" l="1"/>
  <c r="D7" i="2" s="1"/>
  <c r="X5" i="1"/>
  <c r="V5"/>
  <c r="W5"/>
  <c r="AC116"/>
  <c r="C7" i="2" s="1"/>
  <c r="C55" s="1"/>
  <c r="M30" i="1"/>
  <c r="AH116" l="1"/>
  <c r="K30"/>
  <c r="K270" s="1"/>
  <c r="M270"/>
  <c r="O30"/>
  <c r="O270" s="1"/>
  <c r="S30" l="1"/>
  <c r="T30" s="1"/>
  <c r="U30" s="1"/>
  <c r="AD42" l="1"/>
  <c r="X30"/>
  <c r="AC42" s="1"/>
  <c r="AC2" s="1"/>
  <c r="V30"/>
  <c r="W30"/>
  <c r="X2" l="1"/>
</calcChain>
</file>

<file path=xl/comments1.xml><?xml version="1.0" encoding="utf-8"?>
<comments xmlns="http://schemas.openxmlformats.org/spreadsheetml/2006/main">
  <authors>
    <author>Fikry</author>
    <author>r4cheem</author>
  </authors>
  <commentList>
    <comment ref="AR42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121,500
Min : 85,500</t>
        </r>
      </text>
    </comment>
    <comment ref="AV42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161,100
Min : 86,850</t>
        </r>
      </text>
    </comment>
    <comment ref="BL42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Maks: 131.000
Min: 93.000</t>
        </r>
      </text>
    </comment>
    <comment ref="AR49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119,250
Min : 119,250</t>
        </r>
      </text>
    </comment>
    <comment ref="AJ90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144,500
Min : 71,825</t>
        </r>
      </text>
    </comment>
    <comment ref="AV90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180,900
Min : 126,000</t>
        </r>
      </text>
    </comment>
    <comment ref="BD90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174,960
Min : 174,960</t>
        </r>
      </text>
    </comment>
    <comment ref="BL90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160,000
Min : 160,000</t>
        </r>
      </text>
    </comment>
    <comment ref="BP90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129,536
Min : 128,920</t>
        </r>
      </text>
    </comment>
    <comment ref="BP99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116,072
Min : 116,072</t>
        </r>
      </text>
    </comment>
    <comment ref="BT99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113,400
Min : 74,250</t>
        </r>
      </text>
    </comment>
    <comment ref="AJ122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104,550
Min : 104,550</t>
        </r>
      </text>
    </comment>
    <comment ref="AN122" authorId="0">
      <text>
        <r>
          <rPr>
            <b/>
            <sz val="9"/>
            <color indexed="81"/>
            <rFont val="Tahoma"/>
            <family val="2"/>
          </rPr>
          <t xml:space="preserve">Racheem
</t>
        </r>
        <r>
          <rPr>
            <sz val="9"/>
            <color indexed="81"/>
            <rFont val="Tahoma"/>
            <family val="2"/>
          </rPr>
          <t>Max: 118.703
Min: 104.738
Canvas dihapus</t>
        </r>
      </text>
    </comment>
    <comment ref="AR122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132,750
Min : 112,050</t>
        </r>
      </text>
    </comment>
    <comment ref="AV122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148,050
Min : 111,150</t>
        </r>
      </text>
    </comment>
    <comment ref="BD122" authorId="1">
      <text>
        <r>
          <rPr>
            <b/>
            <sz val="9"/>
            <color indexed="81"/>
            <rFont val="Tahoma"/>
            <family val="2"/>
          </rPr>
          <t>r4cheem:</t>
        </r>
        <r>
          <rPr>
            <sz val="9"/>
            <color indexed="81"/>
            <rFont val="Tahoma"/>
            <family val="2"/>
          </rPr>
          <t xml:space="preserve">
Maks: 138.780
Min: 102.060</t>
        </r>
      </text>
    </comment>
    <comment ref="BP122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Maks: 122.320
Min: 113.740
</t>
        </r>
      </text>
    </comment>
    <comment ref="AJ130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129,965
Min : 116,365</t>
        </r>
      </text>
    </comment>
    <comment ref="AN130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111,720
Min : 111,720</t>
        </r>
      </text>
    </comment>
    <comment ref="AR130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132,750
Min : 132,750</t>
        </r>
      </text>
    </comment>
    <comment ref="BD130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145,800
Min : 119,880</t>
        </r>
      </text>
    </comment>
    <comment ref="BL130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155,000
Min : 152,000</t>
        </r>
      </text>
    </comment>
  </commentList>
</comments>
</file>

<file path=xl/comments2.xml><?xml version="1.0" encoding="utf-8"?>
<comments xmlns="http://schemas.openxmlformats.org/spreadsheetml/2006/main">
  <authors>
    <author>r4cheem</author>
  </authors>
  <commentList>
    <comment ref="N2" authorId="0">
      <text>
        <r>
          <rPr>
            <b/>
            <sz val="9"/>
            <color indexed="81"/>
            <rFont val="Tahoma"/>
            <family val="2"/>
          </rPr>
          <t>Setelah analisa summary</t>
        </r>
      </text>
    </comment>
    <comment ref="R2" authorId="0">
      <text>
        <r>
          <rPr>
            <b/>
            <sz val="9"/>
            <color indexed="81"/>
            <rFont val="Tahoma"/>
            <family val="2"/>
          </rPr>
          <t>r4cheem:</t>
        </r>
        <r>
          <rPr>
            <sz val="9"/>
            <color indexed="81"/>
            <rFont val="Tahoma"/>
            <family val="2"/>
          </rPr>
          <t xml:space="preserve">
2 Desember malam, final</t>
        </r>
      </text>
    </comment>
    <comment ref="V2" authorId="0">
      <text>
        <r>
          <rPr>
            <b/>
            <sz val="9"/>
            <color indexed="81"/>
            <rFont val="Tahoma"/>
            <family val="2"/>
          </rPr>
          <t>r4cheem:</t>
        </r>
        <r>
          <rPr>
            <sz val="9"/>
            <color indexed="81"/>
            <rFont val="Tahoma"/>
            <family val="2"/>
          </rPr>
          <t xml:space="preserve">
2 Desember malam, final</t>
        </r>
      </text>
    </comment>
  </commentList>
</comments>
</file>

<file path=xl/comments3.xml><?xml version="1.0" encoding="utf-8"?>
<comments xmlns="http://schemas.openxmlformats.org/spreadsheetml/2006/main">
  <authors>
    <author>r4cheem</author>
  </authors>
  <commentList>
    <comment ref="M2" authorId="0">
      <text>
        <r>
          <rPr>
            <b/>
            <sz val="9"/>
            <color indexed="81"/>
            <rFont val="Tahoma"/>
            <family val="2"/>
          </rPr>
          <t>Setelah analisa summary</t>
        </r>
      </text>
    </comment>
    <comment ref="Q2" authorId="0">
      <text>
        <r>
          <rPr>
            <b/>
            <sz val="9"/>
            <color indexed="81"/>
            <rFont val="Tahoma"/>
            <family val="2"/>
          </rPr>
          <t>r4cheem:</t>
        </r>
        <r>
          <rPr>
            <sz val="9"/>
            <color indexed="81"/>
            <rFont val="Tahoma"/>
            <family val="2"/>
          </rPr>
          <t xml:space="preserve">
2 Desember malam, final</t>
        </r>
      </text>
    </comment>
    <comment ref="U2" authorId="0">
      <text>
        <r>
          <rPr>
            <b/>
            <sz val="9"/>
            <color indexed="81"/>
            <rFont val="Tahoma"/>
            <family val="2"/>
          </rPr>
          <t>Setelah analisa summary</t>
        </r>
      </text>
    </comment>
  </commentList>
</comments>
</file>

<file path=xl/sharedStrings.xml><?xml version="1.0" encoding="utf-8"?>
<sst xmlns="http://schemas.openxmlformats.org/spreadsheetml/2006/main" count="4820" uniqueCount="1248">
  <si>
    <t>PENYUSUNAN HPP INFICLO 2018</t>
  </si>
  <si>
    <t>HARGA JUAL</t>
  </si>
  <si>
    <t>AVERAGE HARGA</t>
  </si>
  <si>
    <t>AVG
KOMPT</t>
  </si>
  <si>
    <t>Inficlo</t>
  </si>
  <si>
    <t>Java Seven</t>
  </si>
  <si>
    <t>CBR Six</t>
  </si>
  <si>
    <t>Catenzo</t>
  </si>
  <si>
    <t>Garsel Shoes</t>
  </si>
  <si>
    <t>Garsel Fasion</t>
  </si>
  <si>
    <t>Basama Soga</t>
  </si>
  <si>
    <t>Azzura</t>
  </si>
  <si>
    <t>Giardino</t>
  </si>
  <si>
    <t>Catenzo Junior</t>
  </si>
  <si>
    <t>Garucci</t>
  </si>
  <si>
    <t>No</t>
  </si>
  <si>
    <t>Kode</t>
  </si>
  <si>
    <t>Check 1</t>
  </si>
  <si>
    <t>Check 2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</si>
  <si>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</si>
  <si>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</si>
  <si>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</si>
  <si>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</si>
  <si>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</si>
  <si>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</si>
  <si>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</si>
  <si>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</si>
  <si>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</si>
  <si>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</si>
  <si>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</si>
  <si>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</si>
  <si>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</si>
  <si>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</si>
  <si>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</si>
  <si>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</si>
  <si>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</si>
  <si>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</si>
  <si>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BAHAN PRODUK</t>
  </si>
  <si>
    <t>AVG%</t>
  </si>
  <si>
    <t>AVG</t>
  </si>
  <si>
    <t>[ % ]</t>
  </si>
  <si>
    <t>JVS 17</t>
  </si>
  <si>
    <t>JVS 16</t>
  </si>
  <si>
    <t>CBR 17</t>
  </si>
  <si>
    <t>CBR 16</t>
  </si>
  <si>
    <t>CTZ 17</t>
  </si>
  <si>
    <t>CTZ 16</t>
  </si>
  <si>
    <t>RND 17</t>
  </si>
  <si>
    <t>RND 16</t>
  </si>
  <si>
    <t>GSL 17</t>
  </si>
  <si>
    <t>GSL 16</t>
  </si>
  <si>
    <t>GSF 17</t>
  </si>
  <si>
    <t>GSF 16</t>
  </si>
  <si>
    <t>BSM 17</t>
  </si>
  <si>
    <t>BSM 16</t>
  </si>
  <si>
    <t>AZR 17</t>
  </si>
  <si>
    <t>AZR 16</t>
  </si>
  <si>
    <t>GDN 17</t>
  </si>
  <si>
    <t>GDN 16</t>
  </si>
  <si>
    <t>CJR 17</t>
  </si>
  <si>
    <t>CJR 16</t>
  </si>
  <si>
    <t>GRC 17</t>
  </si>
  <si>
    <t>GRC 16</t>
  </si>
  <si>
    <t>Status Akhir</t>
  </si>
  <si>
    <t>SUP 833</t>
  </si>
  <si>
    <t xml:space="preserve">Baru </t>
  </si>
  <si>
    <t>INF - Ce - Atasan/Dres - Rajut</t>
  </si>
  <si>
    <t>Net</t>
  </si>
  <si>
    <t xml:space="preserve">Lama </t>
  </si>
  <si>
    <t>Gross</t>
  </si>
  <si>
    <t>SIP 224</t>
  </si>
  <si>
    <t>SUP 670</t>
  </si>
  <si>
    <t>SRT 559</t>
  </si>
  <si>
    <t>SRT 988</t>
  </si>
  <si>
    <t>INF - Ce - Atasan/Dres - Katun</t>
  </si>
  <si>
    <t>SKY 151</t>
  </si>
  <si>
    <t>SMD 361</t>
  </si>
  <si>
    <t>SAT 903</t>
  </si>
  <si>
    <t>SKY 198</t>
  </si>
  <si>
    <t>SKY 794</t>
  </si>
  <si>
    <t>SRT 197</t>
  </si>
  <si>
    <t xml:space="preserve">BHN RAJUT </t>
  </si>
  <si>
    <t>SRS 760</t>
  </si>
  <si>
    <t>SKY 717</t>
  </si>
  <si>
    <t>SMR 915</t>
  </si>
  <si>
    <t>SWI 657</t>
  </si>
  <si>
    <t>SRS 223</t>
  </si>
  <si>
    <t>SGB 187</t>
  </si>
  <si>
    <t>INF - Ce - Atasan/Dres - Jeans</t>
  </si>
  <si>
    <t>SRS 893</t>
  </si>
  <si>
    <t>SRS 140</t>
  </si>
  <si>
    <t>SAT 281</t>
  </si>
  <si>
    <t>SRS 857</t>
  </si>
  <si>
    <t>SRS 506</t>
  </si>
  <si>
    <t>SRS 630</t>
  </si>
  <si>
    <t xml:space="preserve">BHN COTTON </t>
  </si>
  <si>
    <t>SPI 798</t>
  </si>
  <si>
    <t>SHJ 956</t>
  </si>
  <si>
    <t>BHN JEANS</t>
  </si>
  <si>
    <t>SHJ 686</t>
  </si>
  <si>
    <t>SGS 534</t>
  </si>
  <si>
    <t>SNS 257</t>
  </si>
  <si>
    <t>SNS 212</t>
  </si>
  <si>
    <t>INF - Ce - Gamis - Cotton</t>
  </si>
  <si>
    <t>INF - Ce - Gamis - Spandek</t>
  </si>
  <si>
    <t>SRT 917</t>
  </si>
  <si>
    <t>SHJ 606</t>
  </si>
  <si>
    <t>SOP 180</t>
  </si>
  <si>
    <t>SOP 457</t>
  </si>
  <si>
    <t>SNS 674</t>
  </si>
  <si>
    <t>SOP 896</t>
  </si>
  <si>
    <t>SOP 240</t>
  </si>
  <si>
    <t>INF - Ce - Mukena - Katun</t>
  </si>
  <si>
    <t>SKL 455</t>
  </si>
  <si>
    <t>SLS 928</t>
  </si>
  <si>
    <t>SLS 173</t>
  </si>
  <si>
    <t>SLS 678</t>
  </si>
  <si>
    <t>SKL 899</t>
  </si>
  <si>
    <t>SAT 672</t>
  </si>
  <si>
    <t>INF - Ce - Sarimbit - Katun</t>
  </si>
  <si>
    <t>SAT 743</t>
  </si>
  <si>
    <t>SRS 510</t>
  </si>
  <si>
    <t>SRS 538</t>
  </si>
  <si>
    <t xml:space="preserve">BHN WOLLPEACH </t>
  </si>
  <si>
    <t>SGB 368</t>
  </si>
  <si>
    <t>SGB 432</t>
  </si>
  <si>
    <t>SGB 334</t>
  </si>
  <si>
    <t>SGB 873</t>
  </si>
  <si>
    <t>SGB 513</t>
  </si>
  <si>
    <t>SGB 120</t>
  </si>
  <si>
    <t>INF - Ce - Jilbab - Spandek</t>
  </si>
  <si>
    <t>SNY 519</t>
  </si>
  <si>
    <t>SKY 891</t>
  </si>
  <si>
    <t>SKY 532</t>
  </si>
  <si>
    <t>SNY 475</t>
  </si>
  <si>
    <t>SSR 817</t>
  </si>
  <si>
    <t>SKL 923</t>
  </si>
  <si>
    <t>INF - Ce - Jaket - Parasit</t>
  </si>
  <si>
    <t>SRO 615</t>
  </si>
  <si>
    <t>SRD 137</t>
  </si>
  <si>
    <t>SIG 831</t>
  </si>
  <si>
    <t>INF - Ce - Jaket - Fleece</t>
  </si>
  <si>
    <t>SDN 774</t>
  </si>
  <si>
    <t>INF - Ce - Jaket - Twill</t>
  </si>
  <si>
    <t>SRO 603</t>
  </si>
  <si>
    <t>SLH 434</t>
  </si>
  <si>
    <t>SDN 433</t>
  </si>
  <si>
    <t>SIP 480</t>
  </si>
  <si>
    <t>SDN 959</t>
  </si>
  <si>
    <t>SMD 669</t>
  </si>
  <si>
    <t>SIG 619</t>
  </si>
  <si>
    <t>INF - Ce - Jaket - Jeans</t>
  </si>
  <si>
    <t>SMD 142</t>
  </si>
  <si>
    <t>SMD 671</t>
  </si>
  <si>
    <t>SMD 221</t>
  </si>
  <si>
    <t>SMD 263</t>
  </si>
  <si>
    <t>SMD 464</t>
  </si>
  <si>
    <t>SZK 708</t>
  </si>
  <si>
    <t>INF - Ce - Jaket - Viena</t>
  </si>
  <si>
    <t>SMD 904</t>
  </si>
  <si>
    <t>INF - Ce - Jaket - Lotto</t>
  </si>
  <si>
    <t xml:space="preserve">BHN LOTTO </t>
  </si>
  <si>
    <t>SMD 580</t>
  </si>
  <si>
    <t>TWILL</t>
  </si>
  <si>
    <t>SDN 453</t>
  </si>
  <si>
    <t>SBO 404</t>
  </si>
  <si>
    <t xml:space="preserve">BHN VIENA </t>
  </si>
  <si>
    <t>SDN 456</t>
  </si>
  <si>
    <t>BHN PARASIT</t>
  </si>
  <si>
    <t>SPI 969</t>
  </si>
  <si>
    <t>SPI 582</t>
  </si>
  <si>
    <t>SKK 238</t>
  </si>
  <si>
    <t>SMD 694</t>
  </si>
  <si>
    <t xml:space="preserve">BHN FLEECE </t>
  </si>
  <si>
    <t>SPI 256</t>
  </si>
  <si>
    <t>SIG 521</t>
  </si>
  <si>
    <t>SIG 711</t>
  </si>
  <si>
    <t xml:space="preserve">BHN JEANS </t>
  </si>
  <si>
    <t>INF - Ce - Celana - Jeans</t>
  </si>
  <si>
    <t>SPN 501</t>
  </si>
  <si>
    <t>SPN 962</t>
  </si>
  <si>
    <t>SPN 179</t>
  </si>
  <si>
    <t>SIG 594</t>
  </si>
  <si>
    <t>SPN 755</t>
  </si>
  <si>
    <t>SPN 484</t>
  </si>
  <si>
    <t>SPN 191</t>
  </si>
  <si>
    <t>SPN 135</t>
  </si>
  <si>
    <t>SDK 258</t>
  </si>
  <si>
    <t>SDK 317</t>
  </si>
  <si>
    <t>BHN TASLAN</t>
  </si>
  <si>
    <t>SGU 331</t>
  </si>
  <si>
    <t>SGU 861</t>
  </si>
  <si>
    <t>SGN 115</t>
  </si>
  <si>
    <t>SGU 626</t>
  </si>
  <si>
    <t>SKY 275</t>
  </si>
  <si>
    <t>SWP 621</t>
  </si>
  <si>
    <t>INF - Co - Lacoste</t>
  </si>
  <si>
    <t>SKY 733</t>
  </si>
  <si>
    <t>SMD 202</t>
  </si>
  <si>
    <t>SMD 971</t>
  </si>
  <si>
    <t>SCL 991</t>
  </si>
  <si>
    <t>LACOSTE</t>
  </si>
  <si>
    <t>SKY 439</t>
  </si>
  <si>
    <t xml:space="preserve">BHN COTTON COMBED </t>
  </si>
  <si>
    <t>SCR 298</t>
  </si>
  <si>
    <t>INF - Co - Kemeja - Katun</t>
  </si>
  <si>
    <t>SGS 978</t>
  </si>
  <si>
    <t>STR 779</t>
  </si>
  <si>
    <t>INF - Co - Kemeja - Jeans</t>
  </si>
  <si>
    <t>SAT 586</t>
  </si>
  <si>
    <t>SLX 989</t>
  </si>
  <si>
    <t>SCR 827</t>
  </si>
  <si>
    <t>SGB 618</t>
  </si>
  <si>
    <t>SLX 131</t>
  </si>
  <si>
    <t>SMD 222</t>
  </si>
  <si>
    <t>SNO 869</t>
  </si>
  <si>
    <t>SLX 218</t>
  </si>
  <si>
    <t>SLX 291</t>
  </si>
  <si>
    <t>SCR 640</t>
  </si>
  <si>
    <t>SGB 154</t>
  </si>
  <si>
    <t>SKY 386</t>
  </si>
  <si>
    <t>SNO 696</t>
  </si>
  <si>
    <t>JEANS</t>
  </si>
  <si>
    <t>SDR 653</t>
  </si>
  <si>
    <t>SGB 662</t>
  </si>
  <si>
    <t>SGB 907</t>
  </si>
  <si>
    <t>SDR 684</t>
  </si>
  <si>
    <t>SDR 734</t>
  </si>
  <si>
    <t>BHN COTTON</t>
  </si>
  <si>
    <t>INF - Co - Jaket - Rajut</t>
  </si>
  <si>
    <t>SMD 714</t>
  </si>
  <si>
    <t>SIP 823</t>
  </si>
  <si>
    <t>SMD 658</t>
  </si>
  <si>
    <t>SGL 659</t>
  </si>
  <si>
    <t>INF - Co - Jaket - Fleece</t>
  </si>
  <si>
    <t>SMD 738</t>
  </si>
  <si>
    <t>SDL 189</t>
  </si>
  <si>
    <t>SRT 654</t>
  </si>
  <si>
    <t>SDL 939</t>
  </si>
  <si>
    <t>BHN RAJUT</t>
  </si>
  <si>
    <t>SMI 957</t>
  </si>
  <si>
    <t>INF - Co - Jaket - Parasit</t>
  </si>
  <si>
    <t>SMD 698</t>
  </si>
  <si>
    <t>SMD 722</t>
  </si>
  <si>
    <t>SGU 664</t>
  </si>
  <si>
    <t>STJ 498</t>
  </si>
  <si>
    <t>SNR 136</t>
  </si>
  <si>
    <t>SGU 283</t>
  </si>
  <si>
    <t>SIP 809</t>
  </si>
  <si>
    <t>SMD 832</t>
  </si>
  <si>
    <t>INF - Co - Jaket - Diadora</t>
  </si>
  <si>
    <t>SBM 946</t>
  </si>
  <si>
    <t>SGU 426</t>
  </si>
  <si>
    <t>SDD 174</t>
  </si>
  <si>
    <t>SMD 431</t>
  </si>
  <si>
    <t>SSC 322</t>
  </si>
  <si>
    <t>SLC 309</t>
  </si>
  <si>
    <t>SDN 758</t>
  </si>
  <si>
    <t>SKM 118</t>
  </si>
  <si>
    <t>BHN FLEECE</t>
  </si>
  <si>
    <t>SRO 775</t>
  </si>
  <si>
    <t>SMD 583</t>
  </si>
  <si>
    <t>SPI 518</t>
  </si>
  <si>
    <t>INF - Co - Jaket - Jeans</t>
  </si>
  <si>
    <t>SWP 780</t>
  </si>
  <si>
    <t>SKK 937</t>
  </si>
  <si>
    <t>SKK 825</t>
  </si>
  <si>
    <t>SPI 246</t>
  </si>
  <si>
    <t>SLC 598</t>
  </si>
  <si>
    <t>INF - Co - Jaket - Ferari</t>
  </si>
  <si>
    <t>BHN FERARI</t>
  </si>
  <si>
    <t>SZK 679</t>
  </si>
  <si>
    <t>INF - Co - Jaket - Viena</t>
  </si>
  <si>
    <t>SZK 687</t>
  </si>
  <si>
    <t>SMI 211</t>
  </si>
  <si>
    <t>INF - Co - Jaket - Motor</t>
  </si>
  <si>
    <t>SBO 113</t>
  </si>
  <si>
    <t>BHN CORDURA</t>
  </si>
  <si>
    <t>SPP 329</t>
  </si>
  <si>
    <t>SPP 509</t>
  </si>
  <si>
    <t>SPP 596</t>
  </si>
  <si>
    <t>SPP 372</t>
  </si>
  <si>
    <t>INF - Co - Celana - Jeans</t>
  </si>
  <si>
    <t>SPN 710</t>
  </si>
  <si>
    <t>SSP 643</t>
  </si>
  <si>
    <t>SPN 366</t>
  </si>
  <si>
    <t>SWY 848</t>
  </si>
  <si>
    <t>SWY 972</t>
  </si>
  <si>
    <t>SWY 913</t>
  </si>
  <si>
    <t>SKK 465</t>
  </si>
  <si>
    <t>SWY 161</t>
  </si>
  <si>
    <t>SAP 237</t>
  </si>
  <si>
    <t>INF - Ce - Tas Wanita</t>
  </si>
  <si>
    <t>Katalog - Laken (XL) - Hangtag Kulit - Slip Karet - Logam Cor Nikel</t>
  </si>
  <si>
    <t>SAP 890</t>
  </si>
  <si>
    <t>SFM 866</t>
  </si>
  <si>
    <t>Katalog - Laken (XL) - Hangtag Kulit - Slip Karet - Logam Cor Emas</t>
  </si>
  <si>
    <t>SNA 241</t>
  </si>
  <si>
    <t xml:space="preserve">Asep - LNS/SNA </t>
  </si>
  <si>
    <t>SKS 690</t>
  </si>
  <si>
    <t>Katalog - Laken (XL) - Hangtag Kulit - Slip Karet</t>
  </si>
  <si>
    <t>SMA 599</t>
  </si>
  <si>
    <t>SUM 918</t>
  </si>
  <si>
    <t>SUM 132</t>
  </si>
  <si>
    <t>SSD 870</t>
  </si>
  <si>
    <t>SRI 208</t>
  </si>
  <si>
    <t>SRI 697</t>
  </si>
  <si>
    <t>SRI 736</t>
  </si>
  <si>
    <t>SKS 318</t>
  </si>
  <si>
    <t>STU 927</t>
  </si>
  <si>
    <t>Katalog - Laken (L) - Hangtag Kulit - Slip Karet - Logam Cor Emas</t>
  </si>
  <si>
    <t>SRH 493</t>
  </si>
  <si>
    <t>SRM 194</t>
  </si>
  <si>
    <t>SUM 723</t>
  </si>
  <si>
    <t>SAP 355</t>
  </si>
  <si>
    <t>SFS 384</t>
  </si>
  <si>
    <t>SRH 865</t>
  </si>
  <si>
    <t>SRH 863</t>
  </si>
  <si>
    <t>SGP 614</t>
  </si>
  <si>
    <t>SAP 930</t>
  </si>
  <si>
    <t>SUM 236</t>
  </si>
  <si>
    <t>SRI 894</t>
  </si>
  <si>
    <t>SUM 170</t>
  </si>
  <si>
    <t>SMA 844</t>
  </si>
  <si>
    <t>SRI 126</t>
  </si>
  <si>
    <t>SNA 952</t>
  </si>
  <si>
    <t>SAP 188</t>
  </si>
  <si>
    <t>Katalog - Laken (L) - Hangtag Kulit - Slip Karet</t>
  </si>
  <si>
    <t>INF - Ce - Tas Mini</t>
  </si>
  <si>
    <t>SAP 737</t>
  </si>
  <si>
    <t>SRI 250</t>
  </si>
  <si>
    <t>SRI 855</t>
  </si>
  <si>
    <t>SFR 751</t>
  </si>
  <si>
    <t>SRI 411</t>
  </si>
  <si>
    <t>SRI 396</t>
  </si>
  <si>
    <t>SAP 451</t>
  </si>
  <si>
    <t>SAP 292</t>
  </si>
  <si>
    <t>SAP 213</t>
  </si>
  <si>
    <t>SNU 704</t>
  </si>
  <si>
    <t>SNU 216</t>
  </si>
  <si>
    <t>SAP 458</t>
  </si>
  <si>
    <t>SRH 508</t>
  </si>
  <si>
    <t>SFR 605</t>
  </si>
  <si>
    <t>SRH 429</t>
  </si>
  <si>
    <t>SGI 778</t>
  </si>
  <si>
    <t>SGI 445</t>
  </si>
  <si>
    <t>SGI 496</t>
  </si>
  <si>
    <t>Katalog - Laken (M) - Hangtag Kulit - Slip Karet - Logam Cor Emas</t>
  </si>
  <si>
    <t>SFR 348</t>
  </si>
  <si>
    <t>Katalog - Laken (M) - Hangtag Kulit - Slip Karet</t>
  </si>
  <si>
    <t>SLI 883</t>
  </si>
  <si>
    <t>INF - Ce - Tas Punggung</t>
  </si>
  <si>
    <t>Katalog - Laken (XL) - Hangtag Kulit - Slip Kain - Label ID - Kulit Tas#1</t>
  </si>
  <si>
    <t>SRI 315</t>
  </si>
  <si>
    <t>STV 875</t>
  </si>
  <si>
    <t>SAP 535</t>
  </si>
  <si>
    <t>SRB 321</t>
  </si>
  <si>
    <t>INF - Ce - Tas Punggung - Canvas</t>
  </si>
  <si>
    <t>SMH 558</t>
  </si>
  <si>
    <t>SGA 784</t>
  </si>
  <si>
    <t>SFS 667</t>
  </si>
  <si>
    <t>SAP 183</t>
  </si>
  <si>
    <t>SFR 840</t>
  </si>
  <si>
    <t>STU 950</t>
  </si>
  <si>
    <t>SFM 574</t>
  </si>
  <si>
    <t>SMH 949</t>
  </si>
  <si>
    <t>SSD 897</t>
  </si>
  <si>
    <t>STU 557</t>
  </si>
  <si>
    <t>SRI 795</t>
  </si>
  <si>
    <t>SUM 542</t>
  </si>
  <si>
    <t>SRB 177</t>
  </si>
  <si>
    <t>SOR 320</t>
  </si>
  <si>
    <t>SOR 968</t>
  </si>
  <si>
    <t>INF - Ce - Dompet</t>
  </si>
  <si>
    <t>Katalog - Laken (S) - Hangtag Kulit - Slip Karet</t>
  </si>
  <si>
    <t>SAP 497</t>
  </si>
  <si>
    <t>Katalog - Laken (S) - Hangtag Kulit - Slip Karet - Logam Cor Nikel</t>
  </si>
  <si>
    <t>SFL 537</t>
  </si>
  <si>
    <t>SFL 102</t>
  </si>
  <si>
    <t>SFL 247</t>
  </si>
  <si>
    <t>SFL 270</t>
  </si>
  <si>
    <t>Katalog - Laken (S) - Hangtag Kulit - Slip Kain - Logam Cor Emas</t>
  </si>
  <si>
    <t>SII 468</t>
  </si>
  <si>
    <t>SII 655</t>
  </si>
  <si>
    <t>SFL 617</t>
  </si>
  <si>
    <t>SAP 201</t>
  </si>
  <si>
    <t>SFL 647</t>
  </si>
  <si>
    <t>SPT 805</t>
  </si>
  <si>
    <t>SGI 919</t>
  </si>
  <si>
    <t>SPT 748</t>
  </si>
  <si>
    <t>SAR 314</t>
  </si>
  <si>
    <t>SPT 397</t>
  </si>
  <si>
    <t>SPT 993</t>
  </si>
  <si>
    <t>SPT 242</t>
  </si>
  <si>
    <t>SVN 661</t>
  </si>
  <si>
    <t>INF - Co - Tas Punggung - Canvas</t>
  </si>
  <si>
    <t>Katalog - Laken (XL) - Hangtag Kulit - Slip Kain - Label ID - Logam Cor Nikel</t>
  </si>
  <si>
    <t>SMM 581</t>
  </si>
  <si>
    <t>INF - Co - Tas Punggung</t>
  </si>
  <si>
    <t>SVN 261</t>
  </si>
  <si>
    <t>SMM 150</t>
  </si>
  <si>
    <t>SMM 837</t>
  </si>
  <si>
    <t>SMM 818</t>
  </si>
  <si>
    <t>SMM 858</t>
  </si>
  <si>
    <t>SMM 313</t>
  </si>
  <si>
    <t>SMM 108</t>
  </si>
  <si>
    <t>SBR 561</t>
  </si>
  <si>
    <t>Katalog - Laken (XL) - Hangtag Kulit - Slip Kain - Label ID</t>
  </si>
  <si>
    <t>SLI 905</t>
  </si>
  <si>
    <t>SMM 912</t>
  </si>
  <si>
    <t>SMM 352</t>
  </si>
  <si>
    <t>SCP 685</t>
  </si>
  <si>
    <t>SLI 524</t>
  </si>
  <si>
    <t>SMM 550</t>
  </si>
  <si>
    <t>SMM 481</t>
  </si>
  <si>
    <t>SMM 826</t>
  </si>
  <si>
    <t>SYH 034</t>
  </si>
  <si>
    <t>SMM 359</t>
  </si>
  <si>
    <t>SMM 109</t>
  </si>
  <si>
    <t>SVN 629</t>
  </si>
  <si>
    <t>SMH 527</t>
  </si>
  <si>
    <t>SAL 815</t>
  </si>
  <si>
    <t>SRU 908</t>
  </si>
  <si>
    <t>SMH 769</t>
  </si>
  <si>
    <t>SMM 107</t>
  </si>
  <si>
    <t>SMM 620</t>
  </si>
  <si>
    <t>SMM 526</t>
  </si>
  <si>
    <t>SLI 938</t>
  </si>
  <si>
    <t>SLI 264</t>
  </si>
  <si>
    <t>SMM 522</t>
  </si>
  <si>
    <t>SLI 196</t>
  </si>
  <si>
    <t>SMM 627</t>
  </si>
  <si>
    <t>SMM 193</t>
  </si>
  <si>
    <t>SRU 395</t>
  </si>
  <si>
    <t>SMM 764</t>
  </si>
  <si>
    <t>SMM 110</t>
  </si>
  <si>
    <t>INF - Co - Tas Samping</t>
  </si>
  <si>
    <t>SMM 251</t>
  </si>
  <si>
    <t>SMM 981</t>
  </si>
  <si>
    <t>SRU 226</t>
  </si>
  <si>
    <t>Katalog - Laken (L) - Hangtag Kulit - Slip Kain - Label ID - Logam Cor Nikel</t>
  </si>
  <si>
    <t>SRU 520</t>
  </si>
  <si>
    <t>SVN 511</t>
  </si>
  <si>
    <t>Katalog - Laken (L) - Hangtag Kulit - Slip Kain - Label ID - Logam Cor Bakar</t>
  </si>
  <si>
    <t>INF - Co - Tas Trekking</t>
  </si>
  <si>
    <t>SVN 014</t>
  </si>
  <si>
    <t>Katalog - Hangtag Kulit - Slip Kain - Label ID</t>
  </si>
  <si>
    <t>SMM 351</t>
  </si>
  <si>
    <t>INF - Co - Tas Travel</t>
  </si>
  <si>
    <t>SMM 887</t>
  </si>
  <si>
    <t>SFL 273</t>
  </si>
  <si>
    <t>INF - Co - Dompet</t>
  </si>
  <si>
    <t>Katalog - Dus - Hangtag Kulit - Slip Kain</t>
  </si>
  <si>
    <t>SDT 299</t>
  </si>
  <si>
    <t>SLN 192</t>
  </si>
  <si>
    <t>SLN 112</t>
  </si>
  <si>
    <t>SLN 143</t>
  </si>
  <si>
    <t>SAR 323</t>
  </si>
  <si>
    <t>SDY 868</t>
  </si>
  <si>
    <t>SFL 692</t>
  </si>
  <si>
    <t>SFL 310</t>
  </si>
  <si>
    <t>SPU 800</t>
  </si>
  <si>
    <t>SMB 611</t>
  </si>
  <si>
    <t>SPU 790</t>
  </si>
  <si>
    <t>SMB 986</t>
  </si>
  <si>
    <t>INF - Ce - Tas - Anak - Tempat Minum</t>
  </si>
  <si>
    <t>INF - Ce - Tas - Anak - Umum</t>
  </si>
  <si>
    <t>SFS 973</t>
  </si>
  <si>
    <t>SRU 516</t>
  </si>
  <si>
    <t>SGT 472</t>
  </si>
  <si>
    <t>SDC 964</t>
  </si>
  <si>
    <t>SRU 164</t>
  </si>
  <si>
    <t>SMM 801</t>
  </si>
  <si>
    <t>SDC 770</t>
  </si>
  <si>
    <t>SSU 345</t>
  </si>
  <si>
    <t>STK 706</t>
  </si>
  <si>
    <t>SRU 274</t>
  </si>
  <si>
    <t>INF - Co - Tas - Anak - Trolley</t>
  </si>
  <si>
    <t>SRU 739</t>
  </si>
  <si>
    <t>INF - Co - Tas - Anak - Mobil</t>
  </si>
  <si>
    <t>SRU 333</t>
  </si>
  <si>
    <t>SOK 777</t>
  </si>
  <si>
    <t>SOK 786</t>
  </si>
  <si>
    <t>SRU 166</t>
  </si>
  <si>
    <t>SRU 144</t>
  </si>
  <si>
    <t>SRU 705</t>
  </si>
  <si>
    <t>STK 771</t>
  </si>
  <si>
    <t>SMM 742</t>
  </si>
  <si>
    <t>INF - Co - Jaket - Anak - Viena</t>
  </si>
  <si>
    <t>INF - Co - Jaket - Anak - Parasit</t>
  </si>
  <si>
    <t>SHI 335</t>
  </si>
  <si>
    <t>INF - Co - Jaket - Anak - Jeans</t>
  </si>
  <si>
    <t>SLK 864</t>
  </si>
  <si>
    <t>SRO 944</t>
  </si>
  <si>
    <t>SKY 772</t>
  </si>
  <si>
    <t>SKY 203</t>
  </si>
  <si>
    <t>SHI 422</t>
  </si>
  <si>
    <t>SHI 808</t>
  </si>
  <si>
    <t>SZK 229</t>
  </si>
  <si>
    <t>INF - Ce - Jaket - Anak - Fleece</t>
  </si>
  <si>
    <t>INF - Ce - Jaket - Anak - Canvas</t>
  </si>
  <si>
    <t>SWP 353</t>
  </si>
  <si>
    <t>SHI 961</t>
  </si>
  <si>
    <t>STJ 974</t>
  </si>
  <si>
    <t>SKY 880</t>
  </si>
  <si>
    <t>SHI 911</t>
  </si>
  <si>
    <t>SKY 181</t>
  </si>
  <si>
    <t>SKY 376</t>
  </si>
  <si>
    <t>SKY 563</t>
  </si>
  <si>
    <t>SKY 284</t>
  </si>
  <si>
    <t>SPV 215</t>
  </si>
  <si>
    <t>SPV 243</t>
  </si>
  <si>
    <t xml:space="preserve"> </t>
  </si>
  <si>
    <t>INF 17</t>
  </si>
  <si>
    <t>JVS 18</t>
  </si>
  <si>
    <t>CBR 18</t>
  </si>
  <si>
    <t>CTZ 18</t>
  </si>
  <si>
    <t>Reindoz</t>
  </si>
  <si>
    <t>RND 18</t>
  </si>
  <si>
    <t>GSL 18</t>
  </si>
  <si>
    <t>GSF 18</t>
  </si>
  <si>
    <t>BSM 18</t>
  </si>
  <si>
    <t>AZR 18</t>
  </si>
  <si>
    <t>GDN 18</t>
  </si>
  <si>
    <t>CJR 18</t>
  </si>
  <si>
    <t>GRC 18</t>
  </si>
  <si>
    <t>INF - Co - Kaos - Combed</t>
  </si>
  <si>
    <t>Cek Harga HPP</t>
  </si>
  <si>
    <t>Cek Aksesoris</t>
  </si>
  <si>
    <t>Cek Average</t>
  </si>
  <si>
    <t>Cek %</t>
  </si>
  <si>
    <t>KATEGORI</t>
  </si>
  <si>
    <t>MARGIN</t>
  </si>
  <si>
    <t>HPP</t>
  </si>
  <si>
    <t>AVG HPP 
KOMPETITOR</t>
  </si>
  <si>
    <t>NO.</t>
  </si>
  <si>
    <t>AVG (INFICLO)</t>
  </si>
  <si>
    <t>&lt; Avg HPP Kompetitor</t>
  </si>
  <si>
    <t>&gt; Avg HPP Kompetitor</t>
  </si>
  <si>
    <t>TERHADAP HPP KOMPETITOR</t>
  </si>
  <si>
    <t>REKAPITULASI HPP INFICLO KATALOG 2018</t>
  </si>
  <si>
    <t>Relatif sama Dg Avg HPP kompetitor</t>
  </si>
  <si>
    <t>Kategori</t>
  </si>
  <si>
    <t xml:space="preserve">SOPI KIDS - NEW </t>
  </si>
  <si>
    <t>LEV 554</t>
  </si>
  <si>
    <t>LOY 785</t>
  </si>
  <si>
    <t>LSR 762</t>
  </si>
  <si>
    <t>LEV 976</t>
  </si>
  <si>
    <t>LJC 901</t>
  </si>
  <si>
    <t>LNS 137</t>
  </si>
  <si>
    <t>LMI 121</t>
  </si>
  <si>
    <t>LAC 439</t>
  </si>
  <si>
    <t>LRB 630</t>
  </si>
  <si>
    <t>LWT 562</t>
  </si>
  <si>
    <t>LMI 951</t>
  </si>
  <si>
    <t>LTY 427</t>
  </si>
  <si>
    <t>LDT 216</t>
  </si>
  <si>
    <t xml:space="preserve">DIDIT NEW </t>
  </si>
  <si>
    <t>LTY 906</t>
  </si>
  <si>
    <t>LAP 393</t>
  </si>
  <si>
    <t>LAP 895</t>
  </si>
  <si>
    <t>Katalog - Laken (S) - Hangtag Kulit - Slip Kain</t>
  </si>
  <si>
    <t>LNF 334</t>
  </si>
  <si>
    <t>LGI 262</t>
  </si>
  <si>
    <t>LGI 659</t>
  </si>
  <si>
    <t>Katalog - Laken (M) - Hangtag Kulit - Slip Karet - Logam Cor Nikel</t>
  </si>
  <si>
    <t>LKN 463</t>
  </si>
  <si>
    <t>Katalog - Laken (XL) - Hangtag Kulit - Slip Kain - Emblem Baju #2</t>
  </si>
  <si>
    <t>LFK 300</t>
  </si>
  <si>
    <t>LAP 430</t>
  </si>
  <si>
    <t>LFK 168</t>
  </si>
  <si>
    <t>LJB 141</t>
  </si>
  <si>
    <t>LMH 598</t>
  </si>
  <si>
    <t>Katalog - Laken (XL) - Hangtag Kulit - Slip Kain - Label ID - Label Kain New</t>
  </si>
  <si>
    <t>Katalog - Laken (XL) - Hangtag Kulit - Slip Kain - Label ID - Kulit Logo</t>
  </si>
  <si>
    <t xml:space="preserve">Hendri - SDR </t>
  </si>
  <si>
    <t>Katalog - Laken (XL) - Hangtag Kulit - Slip Kain - Label ID - Kulit Tas #2</t>
  </si>
  <si>
    <t>Katalog - Laken (XL) - Hangtag Kulit - Slip Kain - Label ID - Emblem Tas#2</t>
  </si>
  <si>
    <t>Katalog - Laken (XL) - Hangtag Kulit - Slip Kain - Label ID - Kulit Tas #2 - Kulit Logo</t>
  </si>
  <si>
    <t>Katalog - Laken (XL) - Hangtag Kulit - Slip Kain - Label ID - Kulit Lubang #2</t>
  </si>
  <si>
    <t>LJB 386</t>
  </si>
  <si>
    <t>Katalog - Laken (XL) - Hangtag Kulit - Slip Kain - Label ID - Label Kain New - Kulit Lubang II</t>
  </si>
  <si>
    <t>LJB 678</t>
  </si>
  <si>
    <t>Katalog - Laken (XL) - Hangtag Kulit - Slip Kain - Label ID - Label Kain New - Kulit Logo</t>
  </si>
  <si>
    <t>LJB 775</t>
  </si>
  <si>
    <t>LJB 286</t>
  </si>
  <si>
    <t>LJB 946</t>
  </si>
  <si>
    <t>LJB 552</t>
  </si>
  <si>
    <t>LJB 225</t>
  </si>
  <si>
    <t>LJB 432</t>
  </si>
  <si>
    <t>LJB 229</t>
  </si>
  <si>
    <t>LJB 381</t>
  </si>
  <si>
    <t>LLI 477</t>
  </si>
  <si>
    <t>LJB 730</t>
  </si>
  <si>
    <t>Katalog - Dus - Hangtag Kulit - Slip Kain - Logam Cor Nikel</t>
  </si>
  <si>
    <t>LKP 209</t>
  </si>
  <si>
    <t>LST 997</t>
  </si>
  <si>
    <t>LMB 494</t>
  </si>
  <si>
    <t>LDY 935</t>
  </si>
  <si>
    <t>LDY 359</t>
  </si>
  <si>
    <t>LPU 534</t>
  </si>
  <si>
    <t>LPU 405</t>
  </si>
  <si>
    <t>LNF 347</t>
  </si>
  <si>
    <t>LNF 793</t>
  </si>
  <si>
    <t>LNF 117</t>
  </si>
  <si>
    <t>LNF 776</t>
  </si>
  <si>
    <t>PENYUSUNAN HPP BLACKKELLY 2018 (NON ALAS KAKI)</t>
  </si>
  <si>
    <t>REKAPITULASI HPP BLACKKELLY (NON ALAS KAKI) KATALOG 2018</t>
  </si>
  <si>
    <t>OK</t>
  </si>
  <si>
    <t>Kode RND</t>
  </si>
  <si>
    <t>SAD 244</t>
  </si>
  <si>
    <t>SDL 239</t>
  </si>
  <si>
    <t>SRS 958</t>
  </si>
  <si>
    <t>SRS 924</t>
  </si>
  <si>
    <t>SRS 591</t>
  </si>
  <si>
    <t>SRS 945</t>
  </si>
  <si>
    <t>SRS 482</t>
  </si>
  <si>
    <t>SRS 338</t>
  </si>
  <si>
    <t>SPI 157</t>
  </si>
  <si>
    <t>SPI 514</t>
  </si>
  <si>
    <t>SPI 721</t>
  </si>
  <si>
    <t>SFT 716</t>
  </si>
  <si>
    <t>SHJ 479</t>
  </si>
  <si>
    <t>SOP 287</t>
  </si>
  <si>
    <t>SHJ 419</t>
  </si>
  <si>
    <t>SHJ 195</t>
  </si>
  <si>
    <t>SHJ 293</t>
  </si>
  <si>
    <t>SHJ 528</t>
  </si>
  <si>
    <t>SHJ 892</t>
  </si>
  <si>
    <t>SWI 804</t>
  </si>
  <si>
    <t>SLS 652</t>
  </si>
  <si>
    <t>SLS 394</t>
  </si>
  <si>
    <t>SLS 796</t>
  </si>
  <si>
    <t>SGB 876</t>
  </si>
  <si>
    <t>SGB 636</t>
  </si>
  <si>
    <t>SMR 720</t>
  </si>
  <si>
    <t>SOP 707</t>
  </si>
  <si>
    <t>SMD 373</t>
  </si>
  <si>
    <t>SMD 442</t>
  </si>
  <si>
    <t>SMD 153</t>
  </si>
  <si>
    <t>SMD 265</t>
  </si>
  <si>
    <t>SFC 747</t>
  </si>
  <si>
    <t>SIP 381</t>
  </si>
  <si>
    <t>SRO 467</t>
  </si>
  <si>
    <t>SLC 350</t>
  </si>
  <si>
    <t>SPI 130</t>
  </si>
  <si>
    <t>SPI 839</t>
  </si>
  <si>
    <t>SPN 757</t>
  </si>
  <si>
    <t>SPN 228</t>
  </si>
  <si>
    <t>SPN 489</t>
  </si>
  <si>
    <t>SPN 127</t>
  </si>
  <si>
    <t>SDD 824</t>
  </si>
  <si>
    <t>SDD 375</t>
  </si>
  <si>
    <t>SGU 319</t>
  </si>
  <si>
    <t>SKY 829</t>
  </si>
  <si>
    <t>SND 886</t>
  </si>
  <si>
    <t>SMD 822</t>
  </si>
  <si>
    <t>SPI 776</t>
  </si>
  <si>
    <t>SAY 732</t>
  </si>
  <si>
    <t>SAT 568</t>
  </si>
  <si>
    <t>SDR 900</t>
  </si>
  <si>
    <t>SPX 503</t>
  </si>
  <si>
    <t>STR 391</t>
  </si>
  <si>
    <t>SDL 921</t>
  </si>
  <si>
    <t>SGU 884</t>
  </si>
  <si>
    <t>SGU 374</t>
  </si>
  <si>
    <t>SIP 233</t>
  </si>
  <si>
    <t>SGU 420</t>
  </si>
  <si>
    <t>SLC 121</t>
  </si>
  <si>
    <t>SPI 436</t>
  </si>
  <si>
    <t>SPI 370</t>
  </si>
  <si>
    <t>SPI 255</t>
  </si>
  <si>
    <t>SZK 205</t>
  </si>
  <si>
    <t>SZK 349</t>
  </si>
  <si>
    <t>SBO 536</t>
  </si>
  <si>
    <t>SZK 343</t>
  </si>
  <si>
    <t>SMI 401</t>
  </si>
  <si>
    <t>SPP 219</t>
  </si>
  <si>
    <t>SPP 639</t>
  </si>
  <si>
    <t>SSP 878</t>
  </si>
  <si>
    <t>SLX 134</t>
  </si>
  <si>
    <t>SLX 853</t>
  </si>
  <si>
    <t>SLX 882</t>
  </si>
  <si>
    <t>SKS 549</t>
  </si>
  <si>
    <t>SRI 252</t>
  </si>
  <si>
    <t>SAP 448</t>
  </si>
  <si>
    <t>SUM 548</t>
  </si>
  <si>
    <t>SRM 713</t>
  </si>
  <si>
    <t>SNP 296</t>
  </si>
  <si>
    <t>SRI 328</t>
  </si>
  <si>
    <t>STV 469</t>
  </si>
  <si>
    <t>SRI 546</t>
  </si>
  <si>
    <t>SRI 449</t>
  </si>
  <si>
    <t>SFM 158</t>
  </si>
  <si>
    <t>SNA 466</t>
  </si>
  <si>
    <t>SNU 026</t>
  </si>
  <si>
    <t>STY 849</t>
  </si>
  <si>
    <t>SPT 741</t>
  </si>
  <si>
    <t>SAL 604</t>
  </si>
  <si>
    <t>SBD 695</t>
  </si>
  <si>
    <t>SBL 016</t>
  </si>
  <si>
    <t>SMH 553</t>
  </si>
  <si>
    <t>SAM 392</t>
  </si>
  <si>
    <t>SOR 979</t>
  </si>
  <si>
    <t>SFS 184</t>
  </si>
  <si>
    <t>STY 728</t>
  </si>
  <si>
    <t>SNN 499</t>
  </si>
  <si>
    <t>SPT 123</t>
  </si>
  <si>
    <t>SAP 941</t>
  </si>
  <si>
    <t>SAP 408</t>
  </si>
  <si>
    <t>SII 578</t>
  </si>
  <si>
    <t>SPT 610</t>
  </si>
  <si>
    <t>SAP 726</t>
  </si>
  <si>
    <t>SMM 344</t>
  </si>
  <si>
    <t>SMM 676</t>
  </si>
  <si>
    <t>SRU 289</t>
  </si>
  <si>
    <t>SMM 980</t>
  </si>
  <si>
    <t>SMM 872</t>
  </si>
  <si>
    <t>SCP 171</t>
  </si>
  <si>
    <t>SMM 744</t>
  </si>
  <si>
    <t>SRU 703</t>
  </si>
  <si>
    <t>SMM 385</t>
  </si>
  <si>
    <t>SIN 412</t>
  </si>
  <si>
    <t>SBR 633</t>
  </si>
  <si>
    <t>SMM 232</t>
  </si>
  <si>
    <t>SMM 845</t>
  </si>
  <si>
    <t>SLI 975</t>
  </si>
  <si>
    <t>SVN 476</t>
  </si>
  <si>
    <t>SMM 851</t>
  </si>
  <si>
    <t>SAR 324</t>
  </si>
  <si>
    <t>SAR 802</t>
  </si>
  <si>
    <t>SDY 369</t>
  </si>
  <si>
    <t>SDY 446</t>
  </si>
  <si>
    <t>SPU 200</t>
  </si>
  <si>
    <t>SUM 186</t>
  </si>
  <si>
    <t>SRU 719</t>
  </si>
  <si>
    <t>SSU 761</t>
  </si>
  <si>
    <t>SCP 727</t>
  </si>
  <si>
    <t>SRU 682</t>
  </si>
  <si>
    <t>SKY 409</t>
  </si>
  <si>
    <t>SZK 785</t>
  </si>
  <si>
    <t>SZK 976</t>
  </si>
  <si>
    <t>SSN 117</t>
  </si>
  <si>
    <t>SKY 807</t>
  </si>
  <si>
    <t>SRO 688</t>
  </si>
  <si>
    <t>SSN 423</t>
  </si>
  <si>
    <t>SPV 119</t>
  </si>
  <si>
    <t>SPV 311</t>
  </si>
  <si>
    <t>SPV 262</t>
  </si>
  <si>
    <t>SPV 491</t>
  </si>
  <si>
    <t>INF16</t>
  </si>
  <si>
    <t>OK2</t>
  </si>
  <si>
    <t>Taryono - SGI #OK</t>
  </si>
  <si>
    <t>DAYI - LDY/SDY #OK</t>
  </si>
  <si>
    <t>Faisal - SFS #OK</t>
  </si>
  <si>
    <t>Amar - SUM/LEV #OK</t>
  </si>
  <si>
    <t>ISEP - SPU/LPU #OK</t>
  </si>
  <si>
    <t>Harun - SRU/LWH #OK</t>
  </si>
  <si>
    <t>MILA - SSD #OK</t>
  </si>
  <si>
    <t>Fahmi - SFM #OK</t>
  </si>
  <si>
    <t>Dani - SRB #OK</t>
  </si>
  <si>
    <t>Budi - SPT #OK</t>
  </si>
  <si>
    <t>Ervin - SVN #OK</t>
  </si>
  <si>
    <t>Indra - SFL #OK</t>
  </si>
  <si>
    <t>DONI - LOY #OK</t>
  </si>
  <si>
    <t>ASEP SAEFULLOH #OK</t>
  </si>
  <si>
    <t>Feri - SFR/LTY #OK</t>
  </si>
  <si>
    <t>HANIF - SAP #OK</t>
  </si>
  <si>
    <t>Catt</t>
  </si>
  <si>
    <t>Data salah</t>
  </si>
  <si>
    <t>Abdullah - SBL #OK</t>
  </si>
  <si>
    <t>Acep Rohmat #OK</t>
  </si>
  <si>
    <t>LST 139</t>
  </si>
  <si>
    <t>Asep LST #OK</t>
  </si>
  <si>
    <t>Ali Muhammad #OK</t>
  </si>
  <si>
    <t>LEV 459</t>
  </si>
  <si>
    <t>LEV 700</t>
  </si>
  <si>
    <t>Tidak ada faktur</t>
  </si>
  <si>
    <t>IIS AISYAH #OK</t>
  </si>
  <si>
    <t>WAWAN SMB #OK</t>
  </si>
  <si>
    <t>Danu Wijaya #OK</t>
  </si>
  <si>
    <t>WAWAN SETIAWAN #OK</t>
  </si>
  <si>
    <t>Rahmat Hidayat #OK</t>
  </si>
  <si>
    <t>Salah kode</t>
  </si>
  <si>
    <t>MILA - SSD #NOT OK</t>
  </si>
  <si>
    <t>Tati (Sri) #OK</t>
  </si>
  <si>
    <t>Deden R #OK</t>
  </si>
  <si>
    <t>H Anang #OK</t>
  </si>
  <si>
    <t>Maman Bejo #OK</t>
  </si>
  <si>
    <t>LTY 830</t>
  </si>
  <si>
    <t>Hadi - LEW #OK</t>
  </si>
  <si>
    <t>LMI 713</t>
  </si>
  <si>
    <t>LNS 278</t>
  </si>
  <si>
    <t>LSB 953</t>
  </si>
  <si>
    <t>LSB 223</t>
  </si>
  <si>
    <t>LEW 614</t>
  </si>
  <si>
    <t>LEV 169</t>
  </si>
  <si>
    <t>LAC 353</t>
  </si>
  <si>
    <t>LAC 449</t>
  </si>
  <si>
    <t>LJC 460</t>
  </si>
  <si>
    <t>LBA 930</t>
  </si>
  <si>
    <t>LBA 860</t>
  </si>
  <si>
    <t>LNF 411</t>
  </si>
  <si>
    <t>LNF 544</t>
  </si>
  <si>
    <t>LEO 431</t>
  </si>
  <si>
    <t>LJB 667</t>
  </si>
  <si>
    <t>LJB 928</t>
  </si>
  <si>
    <t>LJB 510</t>
  </si>
  <si>
    <t>LHL 267</t>
  </si>
  <si>
    <t>LJB 259</t>
  </si>
  <si>
    <t>LJB 319</t>
  </si>
  <si>
    <t>LJB 380</t>
  </si>
  <si>
    <t>LJB 597</t>
  </si>
  <si>
    <t>LJB 772</t>
  </si>
  <si>
    <t>LWH 962</t>
  </si>
  <si>
    <t>LJB 537</t>
  </si>
  <si>
    <t>LOZ 893</t>
  </si>
  <si>
    <t>LIY 979</t>
  </si>
  <si>
    <t>LJB 053</t>
  </si>
  <si>
    <t>LCP 567</t>
  </si>
  <si>
    <t>LNF 160</t>
  </si>
  <si>
    <t>LDY 468</t>
  </si>
  <si>
    <t>LPU 456</t>
  </si>
  <si>
    <t>LNF 746</t>
  </si>
  <si>
    <t>LML 609</t>
  </si>
  <si>
    <t>LSR 754</t>
  </si>
  <si>
    <t>LRO 749</t>
  </si>
  <si>
    <t>LJC 360</t>
  </si>
  <si>
    <t>LOZ 308</t>
  </si>
  <si>
    <t>LPU 294</t>
  </si>
  <si>
    <t>LJB 773</t>
  </si>
  <si>
    <t>Beda dengan form nego</t>
  </si>
  <si>
    <t>Problem</t>
  </si>
  <si>
    <t>SDL 966</t>
  </si>
  <si>
    <t>SGS 859</t>
  </si>
  <si>
    <t>SKY 985</t>
  </si>
  <si>
    <t>SWP 326</t>
  </si>
  <si>
    <t>SNY 230</t>
  </si>
  <si>
    <t>SHJ 656</t>
  </si>
  <si>
    <t>SHJ 646</t>
  </si>
  <si>
    <t>SUM 841</t>
  </si>
  <si>
    <t>Ganti</t>
  </si>
  <si>
    <t>Beda #</t>
  </si>
  <si>
    <t>Beda#</t>
  </si>
  <si>
    <t>SRS 555</t>
  </si>
  <si>
    <t>Update</t>
  </si>
  <si>
    <t>LDT 983</t>
  </si>
  <si>
    <t>Ganti2</t>
  </si>
  <si>
    <t>Ganti1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</si>
  <si>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</si>
  <si>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</si>
  <si>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</si>
  <si>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</si>
  <si>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>SRS 303</t>
  </si>
  <si>
    <t>Aris</t>
  </si>
  <si>
    <t>aris</t>
  </si>
  <si>
    <t>aris2</t>
  </si>
  <si>
    <t>Aris??</t>
  </si>
  <si>
    <t>SRS 104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</si>
  <si>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</si>
  <si>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</si>
  <si>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</si>
  <si>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</si>
  <si>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HPP?</t>
  </si>
  <si>
    <t>2 Desember</t>
  </si>
  <si>
    <t>KOMPLIT</t>
  </si>
  <si>
    <t>INF - Ce - Dompet (C#1)(K#2)</t>
  </si>
  <si>
    <t>INF - Ce - Tas Punggung (C#1)(K#2)</t>
  </si>
  <si>
    <t>INF - Ce - Tas Wanita (C#1)(K#2)</t>
  </si>
  <si>
    <t>INF - Co - Tas Punggung (C#1)(K#2)</t>
  </si>
  <si>
    <t>INF - Co - Tas Samping (C#1)(K#2)</t>
  </si>
  <si>
    <t>INF - Co - Tas Travel (C#1)(K#2)</t>
  </si>
  <si>
    <t>INF - Co - Tas Trekking (C#1)(K#2)</t>
  </si>
  <si>
    <t>INF - Co - Dompet (C#1)(K#2)</t>
  </si>
  <si>
    <t>6 Desember</t>
  </si>
  <si>
    <t>LML 603</t>
  </si>
  <si>
    <t>LJC 369</t>
  </si>
  <si>
    <t>LJB 919</t>
  </si>
  <si>
    <t>LKP 202</t>
  </si>
  <si>
    <t>LPU 292</t>
  </si>
  <si>
    <t>SLX 249</t>
  </si>
  <si>
    <t>SLX 967</t>
  </si>
  <si>
    <t>SLX 961</t>
  </si>
  <si>
    <t>SLX 326</t>
  </si>
  <si>
    <t>STJ 253</t>
  </si>
  <si>
    <t>STJ 191</t>
  </si>
  <si>
    <t>STJ 379</t>
  </si>
  <si>
    <t>SIP 478</t>
  </si>
  <si>
    <t>SIP 358</t>
  </si>
  <si>
    <t>SIP 892</t>
  </si>
  <si>
    <t>SIP 947</t>
  </si>
  <si>
    <t>SIP 718</t>
  </si>
  <si>
    <t>SIP 742</t>
  </si>
  <si>
    <t>SIP 929</t>
  </si>
  <si>
    <t>SFS 493</t>
  </si>
  <si>
    <t>SFS 688</t>
  </si>
  <si>
    <t>SFS 590</t>
  </si>
  <si>
    <t>SSO 207</t>
  </si>
  <si>
    <t>SSO 913</t>
  </si>
  <si>
    <t>SSO 949</t>
  </si>
  <si>
    <t>SSO 403</t>
  </si>
  <si>
    <t>SMB 187</t>
  </si>
  <si>
    <t>SMB 763</t>
  </si>
  <si>
    <t>SPT 580</t>
  </si>
  <si>
    <t>SPT 699</t>
  </si>
  <si>
    <t>SPT 764</t>
  </si>
  <si>
    <t>SPT 360</t>
  </si>
  <si>
    <t>SPT 770</t>
  </si>
  <si>
    <t>SHY 426</t>
  </si>
  <si>
    <t>SHY 139</t>
  </si>
  <si>
    <t>STV 773</t>
  </si>
  <si>
    <t>STV 460</t>
  </si>
  <si>
    <t>STV 575</t>
  </si>
  <si>
    <t>STV 755</t>
  </si>
  <si>
    <t>STV 673</t>
  </si>
  <si>
    <t>STV 801</t>
  </si>
  <si>
    <t>STV 406</t>
  </si>
  <si>
    <t>STV 914</t>
  </si>
  <si>
    <t>STV 131</t>
  </si>
  <si>
    <t>SMU 946</t>
  </si>
  <si>
    <t>SMU 418</t>
  </si>
  <si>
    <t>SMU 585</t>
  </si>
  <si>
    <t>SMU 354</t>
  </si>
  <si>
    <t>SMU 122</t>
  </si>
  <si>
    <t>STU 685</t>
  </si>
  <si>
    <t>STU 598</t>
  </si>
  <si>
    <t>STU 230</t>
  </si>
  <si>
    <t>SDN 570</t>
  </si>
  <si>
    <t>SDN 838</t>
  </si>
  <si>
    <t>SGT 985</t>
  </si>
  <si>
    <t>SGT 935</t>
  </si>
  <si>
    <t>SGT 783</t>
  </si>
  <si>
    <t>SGT 687</t>
  </si>
  <si>
    <t>SGT 743</t>
  </si>
  <si>
    <t>SMA 938</t>
  </si>
  <si>
    <t>SMA 794</t>
  </si>
  <si>
    <t>SMA 170</t>
  </si>
  <si>
    <t>SMA 305</t>
  </si>
  <si>
    <t>SMA 928</t>
  </si>
  <si>
    <t>SCC 540</t>
  </si>
  <si>
    <t>SCC 498</t>
  </si>
  <si>
    <t>SGB 316</t>
  </si>
  <si>
    <t>SGB 446</t>
  </si>
  <si>
    <t>SGB 517</t>
  </si>
  <si>
    <t>SGB 562</t>
  </si>
  <si>
    <t>SGB 333</t>
  </si>
  <si>
    <t>SGB 435</t>
  </si>
  <si>
    <t>SFT 720</t>
  </si>
  <si>
    <t>SFT 766</t>
  </si>
  <si>
    <t>SRF 336</t>
  </si>
  <si>
    <t>SRF 987</t>
  </si>
  <si>
    <t>SHM 681</t>
  </si>
  <si>
    <t>SHM 295</t>
  </si>
  <si>
    <t>SHM 528</t>
  </si>
  <si>
    <t>STT 174</t>
  </si>
  <si>
    <t>STT 224</t>
  </si>
  <si>
    <t>SJO 916</t>
  </si>
  <si>
    <t>SJO 996</t>
  </si>
  <si>
    <t>SJU 950</t>
  </si>
  <si>
    <t>SJU 319</t>
  </si>
  <si>
    <t>SJU 807</t>
  </si>
  <si>
    <t>SJU 113</t>
  </si>
  <si>
    <t>SJU 226</t>
  </si>
  <si>
    <t>SJU 849</t>
  </si>
  <si>
    <t>SKL 573</t>
  </si>
  <si>
    <t>SKL 902</t>
  </si>
  <si>
    <t>SKL 666</t>
  </si>
  <si>
    <t>SLN 454</t>
  </si>
  <si>
    <t>SLN 710</t>
  </si>
  <si>
    <t>LST/SLN</t>
  </si>
  <si>
    <t>SLN 665</t>
  </si>
  <si>
    <t>SLN 599</t>
  </si>
  <si>
    <t>SLN 564</t>
  </si>
  <si>
    <t>SLN 719</t>
  </si>
  <si>
    <t>SLN 857</t>
  </si>
  <si>
    <t>SRO 165</t>
  </si>
  <si>
    <t>SRO 469</t>
  </si>
  <si>
    <t>SRO 589</t>
  </si>
  <si>
    <t>SRO 992</t>
  </si>
  <si>
    <t>SRO 606</t>
  </si>
  <si>
    <t>SMI 579</t>
  </si>
  <si>
    <t>SMI 588</t>
  </si>
  <si>
    <t>SMI 405</t>
  </si>
  <si>
    <t>SMI 704</t>
  </si>
  <si>
    <t>SMI 835</t>
  </si>
  <si>
    <t>SDK 201</t>
  </si>
  <si>
    <t>STG 990</t>
  </si>
  <si>
    <t>STG 208</t>
  </si>
  <si>
    <t>STG 487</t>
  </si>
  <si>
    <t>SOK 308</t>
  </si>
  <si>
    <t>SOK 363</t>
  </si>
  <si>
    <t>SOK 804</t>
  </si>
  <si>
    <t>SOK 458</t>
  </si>
  <si>
    <t>SDR 211</t>
  </si>
  <si>
    <t>SDR 299</t>
  </si>
  <si>
    <t>SDR 388</t>
  </si>
  <si>
    <t>SDR 823</t>
  </si>
  <si>
    <t>SRI 565</t>
  </si>
  <si>
    <t>SRI 648</t>
  </si>
  <si>
    <t>SRI 163</t>
  </si>
  <si>
    <t>SRI 672</t>
  </si>
  <si>
    <t>SRI 813</t>
  </si>
  <si>
    <t>SRI 601</t>
  </si>
  <si>
    <t>SMD 386</t>
  </si>
  <si>
    <t>SMD 375</t>
  </si>
  <si>
    <t>SMD 364</t>
  </si>
  <si>
    <t>SMD 359</t>
  </si>
  <si>
    <t>SMD 102</t>
  </si>
  <si>
    <t>SMD 726</t>
  </si>
  <si>
    <t>SMD 168</t>
  </si>
  <si>
    <t>SMD 757</t>
  </si>
  <si>
    <t>SMD 447</t>
  </si>
  <si>
    <t>SMD 346</t>
  </si>
  <si>
    <t>SMD 927</t>
  </si>
  <si>
    <t>SMD 711</t>
  </si>
  <si>
    <t>SMD 343</t>
  </si>
  <si>
    <t>SII 516</t>
  </si>
  <si>
    <t>SII 424</t>
  </si>
  <si>
    <t>SII 930</t>
  </si>
  <si>
    <t>SWN 292</t>
  </si>
  <si>
    <t>SWN 708</t>
  </si>
  <si>
    <t>SWN 982</t>
  </si>
  <si>
    <t>SWN 592</t>
  </si>
  <si>
    <t>SWN 645</t>
  </si>
  <si>
    <t>SDI 502</t>
  </si>
  <si>
    <t>SDI 227</t>
  </si>
  <si>
    <t>SFR 193</t>
  </si>
  <si>
    <t>SFR 739</t>
  </si>
  <si>
    <t>SFR 480</t>
  </si>
  <si>
    <t>SFR 288</t>
  </si>
  <si>
    <t>SFR 203</t>
  </si>
  <si>
    <t>SFR 620</t>
  </si>
  <si>
    <t>SFR 740</t>
  </si>
  <si>
    <t>SNO 633</t>
  </si>
  <si>
    <t>SNO 888</t>
  </si>
  <si>
    <t>SNO 266</t>
  </si>
  <si>
    <t>SNO 765</t>
  </si>
  <si>
    <t>SZK 822</t>
  </si>
  <si>
    <t>SZK 504</t>
  </si>
  <si>
    <t>SSP 255</t>
  </si>
  <si>
    <t>SSP 989</t>
  </si>
  <si>
    <t>SSP 399</t>
  </si>
  <si>
    <t>SSP 555</t>
  </si>
  <si>
    <t>SSP 546</t>
  </si>
  <si>
    <t>SVN 641</t>
  </si>
  <si>
    <t>SVN 680</t>
  </si>
  <si>
    <t>SVN 179</t>
  </si>
  <si>
    <t>SLI 977</t>
  </si>
  <si>
    <t>SLI 828</t>
  </si>
  <si>
    <t>SLI 776</t>
  </si>
  <si>
    <t>SLI 800</t>
  </si>
  <si>
    <t>SLI 583</t>
  </si>
  <si>
    <t>SLI 543</t>
  </si>
  <si>
    <t>SLI 803</t>
  </si>
  <si>
    <t>SLI 331</t>
  </si>
  <si>
    <t>SLI 430</t>
  </si>
  <si>
    <t>SLI 940</t>
  </si>
  <si>
    <t>SLI 890</t>
  </si>
  <si>
    <t>SLI 618</t>
  </si>
  <si>
    <t>SLI 479</t>
  </si>
  <si>
    <t>STA 817</t>
  </si>
  <si>
    <t>STA 983</t>
  </si>
  <si>
    <t>STA 793</t>
  </si>
  <si>
    <t>Baru</t>
  </si>
  <si>
    <t>INF - CO - Celana - Jeans</t>
  </si>
  <si>
    <t xml:space="preserve"> INF - CO - Celana - Jeans </t>
  </si>
  <si>
    <t xml:space="preserve"> INF - Ce - Celana - Jeans </t>
  </si>
  <si>
    <t>INF - Anak Ce - Jaket</t>
  </si>
  <si>
    <t>INF - Anak Ce - Sweater</t>
  </si>
  <si>
    <t>INF - Co - Jaket - Canvas</t>
  </si>
  <si>
    <t>INF - Ce - Jaket - Canvas</t>
  </si>
  <si>
    <t>INF - Ce - Jaket - Vienna</t>
  </si>
  <si>
    <t>INF - Anak - Tas</t>
  </si>
  <si>
    <t>INF - Ce - Tas Punggung Sintetis</t>
  </si>
  <si>
    <t>INF - Co - Aksesoris - Dompet</t>
  </si>
  <si>
    <t>INF - Anak Ce - Mukena</t>
  </si>
  <si>
    <t>INF - Co - Jaket - Ferrary</t>
  </si>
  <si>
    <t>INF - Ce - Pakaian - Dress Spandek</t>
  </si>
  <si>
    <t>INF - Ce - Co - Sarimbit</t>
  </si>
  <si>
    <t>INF - Co - Pakaian - Kemeja</t>
  </si>
  <si>
    <t>INF - Ce - Pakaian - Gamis</t>
  </si>
  <si>
    <t>Belum - Ada - Kategori</t>
  </si>
  <si>
    <t>INF - Co - Tas - Travel</t>
  </si>
  <si>
    <t>INF - Ce - Mukena</t>
  </si>
  <si>
    <t>INF - Anak Co - Jaket</t>
  </si>
  <si>
    <t>INF - Co - Jaket - Jaket Touring</t>
  </si>
  <si>
    <t>INF - Co - Jaket - Taslan</t>
  </si>
  <si>
    <t>INF - Ce - Jaket - Taslan</t>
  </si>
  <si>
    <t>INF - Co - Pakaian - Lacoste</t>
  </si>
  <si>
    <t>INF - Co - Tas - Punggung</t>
  </si>
  <si>
    <t>Perlengkapan Bayi</t>
  </si>
  <si>
    <t>INF - Co - Tas - Samping</t>
  </si>
  <si>
    <t>INF - Ce - Pakaian - Atasan - Rajut</t>
  </si>
  <si>
    <t>INF - Ce - Jaket - Diadora</t>
  </si>
  <si>
    <t>ALEX SLX</t>
  </si>
  <si>
    <t>Suteja - STJ</t>
  </si>
  <si>
    <t>Ika - SIP</t>
  </si>
  <si>
    <t>Faisal - SFS</t>
  </si>
  <si>
    <t>Rahmat Sonjaya - NEW</t>
  </si>
  <si>
    <t>Wawan-SMB</t>
  </si>
  <si>
    <t>Budi - SPT</t>
  </si>
  <si>
    <t>HARYATI - NEW</t>
  </si>
  <si>
    <t>WANJA - STV</t>
  </si>
  <si>
    <t>Ummu Hani - New</t>
  </si>
  <si>
    <t>ANDRI STU</t>
  </si>
  <si>
    <t>Dian - SDN</t>
  </si>
  <si>
    <t>RIDWAN - SGT</t>
  </si>
  <si>
    <t>MELA - NEW</t>
  </si>
  <si>
    <t>CECEP - NEW</t>
  </si>
  <si>
    <t>AGUNG BUDIMAN - SGB</t>
  </si>
  <si>
    <t>Hasan - SFT</t>
  </si>
  <si>
    <t>IRFAN SEPTIANADA - NEW</t>
  </si>
  <si>
    <t>RAHMAT H - LJC</t>
  </si>
  <si>
    <t>TANTRI - NEW</t>
  </si>
  <si>
    <t>ADE OJAN - NEW</t>
  </si>
  <si>
    <t>JUJUN - NEW</t>
  </si>
  <si>
    <t>KASIL - SKL</t>
  </si>
  <si>
    <t>Asep Supriatna - SLN/LST</t>
  </si>
  <si>
    <t>ASEP RODI-SRO</t>
  </si>
  <si>
    <t>Jamal - SMI</t>
  </si>
  <si>
    <t>SONIYANSYAH - NEW</t>
  </si>
  <si>
    <t>DEDE TATANG - NEW</t>
  </si>
  <si>
    <t>Kokom Anisa - SOK</t>
  </si>
  <si>
    <t>Dani - SDR</t>
  </si>
  <si>
    <t>Tati Hardiati - SRI/SKS/SFC/LSR</t>
  </si>
  <si>
    <t>Dayut - SMD</t>
  </si>
  <si>
    <t>IIS AISYAH - SII/LEO</t>
  </si>
  <si>
    <t>H IWAN K</t>
  </si>
  <si>
    <t>DENI JAKET - NEW</t>
  </si>
  <si>
    <t>Feri - SFR/LTY</t>
  </si>
  <si>
    <t>Yono - SNO</t>
  </si>
  <si>
    <t>Didin - SZK</t>
  </si>
  <si>
    <t>Usep - SSP</t>
  </si>
  <si>
    <t>Ervin - SVN</t>
  </si>
  <si>
    <t>Admaryus - SPV</t>
  </si>
  <si>
    <t>Ali Muhammad - SAM/SLI</t>
  </si>
  <si>
    <t>TITA - NEW</t>
  </si>
  <si>
    <t>Katalog,slip kemeja,label,handtag,plastik</t>
  </si>
  <si>
    <t>katalog,slip,label,hangtag,kulit jeans,laken L</t>
  </si>
  <si>
    <t>katalog,slip,label,handtag,plastik</t>
  </si>
  <si>
    <t>katalog,slip,label,hangtag,label kain htm,laken L</t>
  </si>
  <si>
    <t>katalog,slip,label,hangtag,plastik</t>
  </si>
  <si>
    <t>katalog,slip,label,hangtag,laken L</t>
  </si>
  <si>
    <t>katalog,slip,label,hangtag,emblem 1 , laken L, embelem 2</t>
  </si>
  <si>
    <t>katalog,slip,label,hangtag,emblem,laken L</t>
  </si>
  <si>
    <t>katalog,slip,label ID,handtag,laken XL</t>
  </si>
  <si>
    <t>katalog,slip,handtag,logam emas, laken L</t>
  </si>
  <si>
    <t>katalog,slip karet,handtag,laken L</t>
  </si>
  <si>
    <t>katalog,slip karet,handtag,laken XL,logam emas</t>
  </si>
  <si>
    <t>katalog,slip,label ID,hangtag,laken XL</t>
  </si>
  <si>
    <t xml:space="preserve">katalog,slip,handtag,logam emas, laken </t>
  </si>
  <si>
    <t>katalog,slip,handtag, laken L</t>
  </si>
  <si>
    <t>katalog,slip,handtag,logam mikel, laken L</t>
  </si>
  <si>
    <t>katalog,slip karet,handtag, logam emas,laken S</t>
  </si>
  <si>
    <t>katalog,slip karet,handtag,Dus,label kain</t>
  </si>
  <si>
    <t>katalog,slip karet,handtag,laken S</t>
  </si>
  <si>
    <t>katalog,slip,handtag</t>
  </si>
  <si>
    <t>katalog,slip karet,handtag, logam emas,laken XL</t>
  </si>
  <si>
    <t>katalog,slip karet,handtag, logam emas,laken L</t>
  </si>
  <si>
    <t>katalog,slip karet,handtag,logam mikel, laken L</t>
  </si>
  <si>
    <t>katalog,slip ,handtag,laken XL</t>
  </si>
  <si>
    <t>katalog,slip ,Label,handtag,laken L</t>
  </si>
  <si>
    <t>katalog,slip ,Label,handtag,laken L, kulit jeans</t>
  </si>
  <si>
    <t>katalog,slip ,label ID,handtag,laken XL</t>
  </si>
  <si>
    <t>katalog,slip ,Label,handtag,plastik</t>
  </si>
  <si>
    <t>katalog,slip ,label ID,handtag,laken L</t>
  </si>
  <si>
    <t>katalog,slip ,handtag,kulit jeans cewe,plastik</t>
  </si>
  <si>
    <t>katalog,slip karet,label pundak,handtag, logam emas,laken L</t>
  </si>
  <si>
    <t>katalog,slip ,Label,handtag,laken XL</t>
  </si>
  <si>
    <t>katalog,slip ,Label,handtag,dus kecil</t>
  </si>
  <si>
    <t>katalog,slip ,Label,handtag,plastik besar</t>
  </si>
  <si>
    <t>katalog,slip ,Label,handtag,dus besar</t>
  </si>
  <si>
    <t>katalog,slip karet,handtag, logam emas,laken M</t>
  </si>
  <si>
    <t>katalog,slip ,handtag, logam emas,laken XL</t>
  </si>
  <si>
    <t>katalog,slip ,handtag,laken L</t>
  </si>
  <si>
    <t>katalog,slip ,handtag,kulit jeans,laken L</t>
  </si>
  <si>
    <t>katalog,slip ,handtag,label ID,label+woven</t>
  </si>
  <si>
    <t>katalog,slip ,handtag,label ID,label+woven,lubang 2</t>
  </si>
  <si>
    <t>katalog,slip karet,handtag,logam emas,laken XL</t>
  </si>
  <si>
    <t>katalog,slip ,slip,handtag,laken L</t>
  </si>
  <si>
    <t>katalog,slip ,slip,handtag,plastik besar</t>
  </si>
  <si>
    <t>katalog,slip kain,handtag,dus</t>
  </si>
  <si>
    <t>katalog ,slip,handtag,laken S</t>
  </si>
  <si>
    <t>katalog ,slip,label,handtag,laken L</t>
  </si>
  <si>
    <t>katalog,slip ,label,handtag,emblem,laken L</t>
  </si>
  <si>
    <t>katalog,slip ,label,handtag,label lacoste,plastik</t>
  </si>
  <si>
    <t>katalog,slip ,label,handtag,label lacoste,laken L</t>
  </si>
  <si>
    <t>katalog ,slip,label,handtag,laken XL</t>
  </si>
  <si>
    <t>katalog,slip ,label,handtag,kulit jeans,laken L</t>
  </si>
  <si>
    <t>katalog,slip ,label pundak,handtag,emblem,laken L</t>
  </si>
  <si>
    <t>katalog,slip ,label pundak,handtag,label kain,laken L</t>
  </si>
  <si>
    <t>katalog ,slip,handtag,kulit woven,laken XL</t>
  </si>
  <si>
    <t>katalog,slip ,label ID,handtag</t>
  </si>
  <si>
    <t>katalog,slip ,label,handtag,plastik besar</t>
  </si>
  <si>
    <t>katalog,slip karet,handtag,logam mikel,laken XL</t>
  </si>
  <si>
    <t>katalog,slip karet,handtag,logam besar,laken XL</t>
  </si>
  <si>
    <t>katalog,slip karet,handtag,logam emas,laken L</t>
  </si>
  <si>
    <t>katalog,slip karet,handtag,laken XL</t>
  </si>
  <si>
    <t>katalog,slip karet,handtag,logam kaleng,laken XL</t>
  </si>
  <si>
    <t>katalog,slip karet,handtag,logam besar,laken L</t>
  </si>
  <si>
    <t>katalog,slip,label,handtag,label lacoste,laken L</t>
  </si>
  <si>
    <t>katalog,slip,label,handtag,laken L</t>
  </si>
  <si>
    <t>katalog,slip,label,handtag,lakon jaket,laken L</t>
  </si>
  <si>
    <t>katalog,slip ,label,handtag,emblem,plastik</t>
  </si>
  <si>
    <t>katalog,slip 2x ,handtag,emblem 2x,laken L</t>
  </si>
  <si>
    <t>katalog,slip ,label,handtag,plastik25</t>
  </si>
  <si>
    <t>katalog,slip ,label,handtag,label lacoste,plastik450</t>
  </si>
  <si>
    <t>katalog,slip ,label,handtag,label lacoste,plastik451</t>
  </si>
  <si>
    <t>katalog,slip ,label,handtag,label lacoste,plastik452</t>
  </si>
  <si>
    <t>katalog,slip ,label,handtag,label lacoste,plastik453</t>
  </si>
  <si>
    <t>katalog,slip karet,handtag,laken, logam emas</t>
  </si>
  <si>
    <t>katalog,slip,handtag,laken</t>
  </si>
  <si>
    <t>katalog,slip,handtag,laken L, logam emas</t>
  </si>
  <si>
    <t>katalog,slip,handtag,laken L, logam mikel</t>
  </si>
  <si>
    <t>katalog,slip karet,handtag,laken XL, logam emas</t>
  </si>
  <si>
    <t>katalog,slip karet,handtag,laken L, logam emas</t>
  </si>
  <si>
    <t>katalog,slip,handtag,laken L</t>
  </si>
  <si>
    <t>katalog,slip,handtag,label,label lacoste,laken L,</t>
  </si>
  <si>
    <t>katalog,slip karet,handtag,laken XL, logam mikel</t>
  </si>
  <si>
    <t>katalog,slip karet,handtag kulit,laken XL, Cat emas</t>
  </si>
  <si>
    <t>katalog,slip karet,handtag kulit,laken L</t>
  </si>
  <si>
    <t>katalog,slip karet,handtag kulit,cat emas,laken L</t>
  </si>
  <si>
    <t>katalog,slip ,label,handtag,label lacoste,plastik750</t>
  </si>
  <si>
    <t>katalog,slip ,label,handtag,label lacoste,plastik751</t>
  </si>
  <si>
    <t>katalog,slip ,label,handtag,label lacoste,plastik752</t>
  </si>
  <si>
    <t>katalog,slip ,label,handtag,label lacoste,plastik753</t>
  </si>
  <si>
    <t>katalog,slip,handtag,label,laken L</t>
  </si>
  <si>
    <t>katalog,slip,handtag,label,laken XL</t>
  </si>
  <si>
    <t>katalog,slip,handtag,kulit jeans,laken L</t>
  </si>
  <si>
    <t>katalog,slip,label ID,handtag,laken XL,Label+woven, Slip karet tali laptop</t>
  </si>
  <si>
    <t>katalog,slip,handtag,label ID</t>
  </si>
  <si>
    <t>katalog,slip,handtag,label ID, Kulit jeans, laken M</t>
  </si>
  <si>
    <t>katalog,slip,label ID,handtag,laken XL,kulit+woven</t>
  </si>
  <si>
    <t>katalog,slip ,label,label saku,plastik besar,hangtag</t>
  </si>
  <si>
    <t>katalog,slip,handtag,label, label saku, laken L</t>
  </si>
  <si>
    <t>Katalog, slip, hangtag, kulit jeruk, laken L, Preasure Denim</t>
  </si>
  <si>
    <t xml:space="preserve">clear </t>
  </si>
  <si>
    <t>SIP 549</t>
  </si>
  <si>
    <t>-</t>
  </si>
  <si>
    <t>SIP 933</t>
  </si>
  <si>
    <t>INF - Ce - Atasan - Jeans</t>
  </si>
  <si>
    <t>SMB 251</t>
  </si>
  <si>
    <t>clear</t>
  </si>
  <si>
    <t>SKL 832</t>
  </si>
  <si>
    <t>SDI 984</t>
  </si>
  <si>
    <t>INF - Co Anak - Jaket - Ferrari</t>
  </si>
  <si>
    <t>INF - Co - Jaket - Ferrari</t>
  </si>
  <si>
    <t>INF - Ce - Tas - Punggung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</si>
</sst>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theme="1"/>
      <name val="Arial"/>
      <family val="2"/>
    </font>
    <font>
      <i/>
      <sz val="11"/>
      <name val="Calibri"/>
      <family val="2"/>
      <scheme val="minor"/>
    </font>
    <font>
      <i/>
      <sz val="11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620AF"/>
        <bgColor indexed="64"/>
      </patternFill>
    </fill>
    <fill>
      <patternFill patternType="solid">
        <fgColor theme="7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34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43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9" fontId="5" fillId="5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41" fontId="4" fillId="2" borderId="0" xfId="2" applyFont="1" applyFill="1" applyAlignment="1">
      <alignment horizontal="center" vertical="center"/>
    </xf>
    <xf numFmtId="41" fontId="4" fillId="7" borderId="4" xfId="2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41" fontId="6" fillId="3" borderId="0" xfId="0" applyNumberFormat="1" applyFont="1" applyFill="1" applyAlignment="1">
      <alignment horizontal="center" vertical="center"/>
    </xf>
    <xf numFmtId="9" fontId="6" fillId="3" borderId="0" xfId="0" applyNumberFormat="1" applyFont="1" applyFill="1" applyAlignment="1">
      <alignment horizontal="center" vertical="center"/>
    </xf>
    <xf numFmtId="41" fontId="2" fillId="8" borderId="0" xfId="0" applyNumberFormat="1" applyFont="1" applyFill="1" applyAlignment="1">
      <alignment horizontal="center" vertical="center"/>
    </xf>
    <xf numFmtId="9" fontId="2" fillId="8" borderId="0" xfId="0" applyNumberFormat="1" applyFont="1" applyFill="1" applyAlignment="1">
      <alignment horizontal="center" vertical="center"/>
    </xf>
    <xf numFmtId="41" fontId="2" fillId="7" borderId="0" xfId="0" applyNumberFormat="1" applyFont="1" applyFill="1" applyAlignment="1">
      <alignment horizontal="center" vertical="center"/>
    </xf>
    <xf numFmtId="9" fontId="2" fillId="7" borderId="0" xfId="0" applyNumberFormat="1" applyFont="1" applyFill="1" applyAlignment="1">
      <alignment horizontal="center" vertical="center"/>
    </xf>
    <xf numFmtId="9" fontId="2" fillId="9" borderId="0" xfId="0" applyNumberFormat="1" applyFont="1" applyFill="1" applyAlignment="1">
      <alignment horizontal="center" vertical="center"/>
    </xf>
    <xf numFmtId="164" fontId="2" fillId="9" borderId="0" xfId="1" applyNumberFormat="1" applyFont="1" applyFill="1" applyAlignment="1">
      <alignment vertical="center"/>
    </xf>
    <xf numFmtId="41" fontId="2" fillId="6" borderId="0" xfId="0" applyNumberFormat="1" applyFont="1" applyFill="1" applyAlignment="1">
      <alignment vertical="center"/>
    </xf>
    <xf numFmtId="165" fontId="2" fillId="6" borderId="0" xfId="3" applyNumberFormat="1" applyFont="1" applyFill="1" applyAlignment="1">
      <alignment horizontal="center" vertical="center"/>
    </xf>
    <xf numFmtId="41" fontId="2" fillId="2" borderId="0" xfId="2" applyFont="1" applyFill="1" applyAlignment="1">
      <alignment vertical="center"/>
    </xf>
    <xf numFmtId="10" fontId="2" fillId="7" borderId="0" xfId="3" applyNumberFormat="1" applyFont="1" applyFill="1" applyAlignment="1">
      <alignment vertical="center"/>
    </xf>
    <xf numFmtId="164" fontId="2" fillId="7" borderId="0" xfId="1" quotePrefix="1" applyNumberFormat="1" applyFont="1" applyFill="1" applyAlignment="1">
      <alignment vertical="center"/>
    </xf>
    <xf numFmtId="164" fontId="2" fillId="11" borderId="0" xfId="1" quotePrefix="1" applyNumberFormat="1" applyFont="1" applyFill="1" applyAlignment="1">
      <alignment vertical="center"/>
    </xf>
    <xf numFmtId="41" fontId="2" fillId="12" borderId="0" xfId="0" applyNumberFormat="1" applyFont="1" applyFill="1" applyAlignment="1">
      <alignment horizontal="center" vertical="center"/>
    </xf>
    <xf numFmtId="9" fontId="2" fillId="12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164" fontId="2" fillId="7" borderId="0" xfId="1" applyNumberFormat="1" applyFont="1" applyFill="1" applyAlignment="1">
      <alignment vertical="center"/>
    </xf>
    <xf numFmtId="164" fontId="2" fillId="11" borderId="0" xfId="1" applyNumberFormat="1" applyFont="1" applyFill="1" applyAlignment="1">
      <alignment vertical="center"/>
    </xf>
    <xf numFmtId="41" fontId="2" fillId="7" borderId="0" xfId="2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2" fillId="11" borderId="0" xfId="0" applyFont="1" applyFill="1" applyAlignment="1">
      <alignment vertical="center"/>
    </xf>
    <xf numFmtId="10" fontId="2" fillId="2" borderId="0" xfId="3" applyNumberFormat="1" applyFont="1" applyFill="1" applyAlignment="1">
      <alignment vertical="center"/>
    </xf>
    <xf numFmtId="41" fontId="2" fillId="4" borderId="0" xfId="0" applyNumberFormat="1" applyFont="1" applyFill="1" applyAlignment="1">
      <alignment horizontal="center" vertical="center"/>
    </xf>
    <xf numFmtId="10" fontId="2" fillId="7" borderId="0" xfId="3" applyNumberFormat="1" applyFont="1" applyFill="1" applyAlignment="1">
      <alignment horizontal="left" vertical="center"/>
    </xf>
    <xf numFmtId="41" fontId="2" fillId="2" borderId="0" xfId="0" applyNumberFormat="1" applyFont="1" applyFill="1" applyAlignment="1">
      <alignment horizontal="center" vertical="center"/>
    </xf>
    <xf numFmtId="41" fontId="2" fillId="14" borderId="0" xfId="0" applyNumberFormat="1" applyFont="1" applyFill="1" applyAlignment="1">
      <alignment horizontal="center" vertical="center"/>
    </xf>
    <xf numFmtId="41" fontId="2" fillId="7" borderId="0" xfId="0" applyNumberFormat="1" applyFont="1" applyFill="1" applyAlignment="1">
      <alignment vertical="center"/>
    </xf>
    <xf numFmtId="41" fontId="2" fillId="11" borderId="0" xfId="0" applyNumberFormat="1" applyFont="1" applyFill="1" applyAlignment="1">
      <alignment vertical="center"/>
    </xf>
    <xf numFmtId="164" fontId="2" fillId="4" borderId="0" xfId="1" applyNumberFormat="1" applyFont="1" applyFill="1" applyAlignment="1">
      <alignment horizontal="center" vertical="center"/>
    </xf>
    <xf numFmtId="41" fontId="2" fillId="11" borderId="0" xfId="2" applyFont="1" applyFill="1" applyAlignment="1">
      <alignment vertical="center"/>
    </xf>
    <xf numFmtId="164" fontId="2" fillId="7" borderId="0" xfId="0" applyNumberFormat="1" applyFont="1" applyFill="1" applyAlignment="1">
      <alignment vertical="center"/>
    </xf>
    <xf numFmtId="41" fontId="2" fillId="13" borderId="0" xfId="0" applyNumberFormat="1" applyFont="1" applyFill="1" applyAlignment="1">
      <alignment horizontal="center" vertical="center"/>
    </xf>
    <xf numFmtId="0" fontId="2" fillId="15" borderId="0" xfId="0" applyFont="1" applyFill="1" applyAlignment="1">
      <alignment vertical="center"/>
    </xf>
    <xf numFmtId="164" fontId="2" fillId="11" borderId="0" xfId="0" applyNumberFormat="1" applyFont="1" applyFill="1" applyAlignment="1">
      <alignment vertical="center"/>
    </xf>
    <xf numFmtId="0" fontId="2" fillId="12" borderId="0" xfId="0" applyFont="1" applyFill="1"/>
    <xf numFmtId="10" fontId="2" fillId="9" borderId="0" xfId="0" applyNumberFormat="1" applyFont="1" applyFill="1" applyAlignment="1">
      <alignment horizontal="center" vertical="center"/>
    </xf>
    <xf numFmtId="0" fontId="2" fillId="16" borderId="0" xfId="0" applyFont="1" applyFill="1" applyAlignment="1">
      <alignment vertical="center"/>
    </xf>
    <xf numFmtId="41" fontId="8" fillId="12" borderId="0" xfId="0" applyNumberFormat="1" applyFont="1" applyFill="1" applyAlignment="1">
      <alignment horizontal="center" vertical="center"/>
    </xf>
    <xf numFmtId="164" fontId="0" fillId="7" borderId="0" xfId="1" applyNumberFormat="1" applyFont="1" applyFill="1" applyAlignment="1">
      <alignment horizontal="center" vertical="center"/>
    </xf>
    <xf numFmtId="164" fontId="2" fillId="12" borderId="0" xfId="1" applyNumberFormat="1" applyFont="1" applyFill="1" applyAlignment="1">
      <alignment horizontal="center" vertical="center"/>
    </xf>
    <xf numFmtId="164" fontId="2" fillId="12" borderId="0" xfId="1" applyNumberFormat="1" applyFont="1" applyFill="1"/>
    <xf numFmtId="164" fontId="2" fillId="9" borderId="0" xfId="1" applyNumberFormat="1" applyFont="1" applyFill="1" applyAlignment="1">
      <alignment horizontal="center" vertical="center"/>
    </xf>
    <xf numFmtId="164" fontId="0" fillId="8" borderId="0" xfId="1" applyNumberFormat="1" applyFont="1" applyFill="1" applyAlignment="1">
      <alignment horizontal="center" vertical="center"/>
    </xf>
    <xf numFmtId="164" fontId="2" fillId="14" borderId="0" xfId="1" applyNumberFormat="1" applyFont="1" applyFill="1" applyAlignment="1">
      <alignment horizontal="center" vertical="center"/>
    </xf>
    <xf numFmtId="165" fontId="2" fillId="9" borderId="0" xfId="0" applyNumberFormat="1" applyFont="1" applyFill="1" applyAlignment="1">
      <alignment horizontal="center" vertical="center"/>
    </xf>
    <xf numFmtId="41" fontId="2" fillId="0" borderId="0" xfId="0" applyNumberFormat="1" applyFont="1" applyAlignment="1">
      <alignment vertical="center"/>
    </xf>
    <xf numFmtId="0" fontId="0" fillId="0" borderId="0" xfId="0" applyFill="1"/>
    <xf numFmtId="41" fontId="10" fillId="14" borderId="0" xfId="2" applyFont="1" applyFill="1" applyAlignment="1"/>
    <xf numFmtId="0" fontId="0" fillId="14" borderId="0" xfId="0" applyFill="1"/>
    <xf numFmtId="0" fontId="10" fillId="14" borderId="0" xfId="0" applyFont="1" applyFill="1" applyAlignment="1">
      <alignment horizontal="center"/>
    </xf>
    <xf numFmtId="41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41" fontId="0" fillId="0" borderId="0" xfId="2" applyFont="1" applyAlignment="1"/>
    <xf numFmtId="0" fontId="4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vertical="center"/>
    </xf>
    <xf numFmtId="41" fontId="0" fillId="0" borderId="0" xfId="2" applyFont="1"/>
    <xf numFmtId="9" fontId="2" fillId="9" borderId="0" xfId="3" applyNumberFormat="1" applyFont="1" applyFill="1" applyAlignment="1">
      <alignment horizontal="center" vertical="center"/>
    </xf>
    <xf numFmtId="164" fontId="0" fillId="4" borderId="0" xfId="1" applyNumberFormat="1" applyFont="1" applyFill="1" applyAlignment="1">
      <alignment horizontal="center" vertical="center"/>
    </xf>
    <xf numFmtId="165" fontId="0" fillId="0" borderId="0" xfId="3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Alignment="1">
      <alignment horizontal="center" vertical="center"/>
    </xf>
    <xf numFmtId="164" fontId="0" fillId="17" borderId="0" xfId="1" applyNumberFormat="1" applyFont="1" applyFill="1" applyAlignment="1">
      <alignment vertical="center"/>
    </xf>
    <xf numFmtId="164" fontId="0" fillId="6" borderId="0" xfId="1" applyNumberFormat="1" applyFont="1" applyFill="1" applyAlignment="1">
      <alignment vertical="center"/>
    </xf>
    <xf numFmtId="164" fontId="0" fillId="11" borderId="0" xfId="1" applyNumberFormat="1" applyFont="1" applyFill="1" applyAlignment="1">
      <alignment vertical="center"/>
    </xf>
    <xf numFmtId="164" fontId="0" fillId="6" borderId="0" xfId="1" applyNumberFormat="1" applyFont="1" applyFill="1" applyAlignment="1">
      <alignment horizontal="right" vertical="center"/>
    </xf>
    <xf numFmtId="164" fontId="0" fillId="17" borderId="0" xfId="1" applyNumberFormat="1" applyFont="1" applyFill="1" applyAlignment="1">
      <alignment horizontal="right" vertical="center"/>
    </xf>
    <xf numFmtId="164" fontId="0" fillId="11" borderId="0" xfId="1" applyNumberFormat="1" applyFont="1" applyFill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10" borderId="7" xfId="3" applyNumberFormat="1" applyFont="1" applyFill="1" applyBorder="1" applyAlignment="1">
      <alignment horizontal="center" vertical="center"/>
    </xf>
    <xf numFmtId="164" fontId="4" fillId="10" borderId="7" xfId="1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vertical="center"/>
    </xf>
    <xf numFmtId="164" fontId="0" fillId="10" borderId="0" xfId="1" applyNumberFormat="1" applyFont="1" applyFill="1" applyAlignment="1">
      <alignment vertical="center"/>
    </xf>
    <xf numFmtId="9" fontId="0" fillId="0" borderId="0" xfId="3" applyNumberFormat="1" applyFont="1" applyAlignment="1">
      <alignment vertical="center"/>
    </xf>
    <xf numFmtId="9" fontId="4" fillId="10" borderId="0" xfId="3" applyNumberFormat="1" applyFont="1" applyFill="1" applyAlignment="1">
      <alignment vertical="center"/>
    </xf>
    <xf numFmtId="165" fontId="4" fillId="10" borderId="7" xfId="3" applyNumberFormat="1" applyFont="1" applyFill="1" applyBorder="1" applyAlignment="1">
      <alignment horizontal="center" vertical="center"/>
    </xf>
    <xf numFmtId="164" fontId="4" fillId="10" borderId="7" xfId="1" applyNumberFormat="1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/>
    <xf numFmtId="41" fontId="4" fillId="4" borderId="0" xfId="2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1" fontId="0" fillId="0" borderId="0" xfId="0" applyNumberFormat="1" applyFill="1" applyAlignment="1">
      <alignment horizontal="center"/>
    </xf>
    <xf numFmtId="0" fontId="0" fillId="17" borderId="0" xfId="0" applyFill="1"/>
    <xf numFmtId="0" fontId="0" fillId="17" borderId="0" xfId="0" applyFill="1" applyAlignment="1">
      <alignment horizontal="center"/>
    </xf>
    <xf numFmtId="3" fontId="0" fillId="17" borderId="0" xfId="0" applyNumberFormat="1" applyFill="1"/>
    <xf numFmtId="41" fontId="4" fillId="17" borderId="0" xfId="2" applyFont="1" applyFill="1" applyAlignment="1">
      <alignment horizontal="center"/>
    </xf>
    <xf numFmtId="41" fontId="4" fillId="17" borderId="0" xfId="2" applyFont="1" applyFill="1" applyAlignment="1"/>
    <xf numFmtId="41" fontId="1" fillId="17" borderId="0" xfId="2" applyFont="1" applyFill="1" applyAlignment="1"/>
    <xf numFmtId="41" fontId="1" fillId="17" borderId="0" xfId="2" applyFont="1" applyFill="1" applyAlignment="1">
      <alignment vertical="center"/>
    </xf>
    <xf numFmtId="0" fontId="0" fillId="18" borderId="0" xfId="0" applyFill="1"/>
    <xf numFmtId="0" fontId="0" fillId="18" borderId="0" xfId="0" applyFill="1" applyAlignment="1">
      <alignment horizontal="center"/>
    </xf>
    <xf numFmtId="3" fontId="0" fillId="18" borderId="0" xfId="0" applyNumberFormat="1" applyFill="1"/>
    <xf numFmtId="41" fontId="4" fillId="18" borderId="0" xfId="2" applyFont="1" applyFill="1" applyAlignment="1">
      <alignment horizontal="center"/>
    </xf>
    <xf numFmtId="41" fontId="4" fillId="18" borderId="0" xfId="2" applyFont="1" applyFill="1" applyAlignment="1"/>
    <xf numFmtId="41" fontId="1" fillId="18" borderId="0" xfId="2" applyFont="1" applyFill="1" applyAlignment="1"/>
    <xf numFmtId="0" fontId="0" fillId="3" borderId="0" xfId="0" applyFill="1"/>
    <xf numFmtId="0" fontId="0" fillId="3" borderId="0" xfId="0" applyFill="1" applyAlignment="1">
      <alignment horizontal="center"/>
    </xf>
    <xf numFmtId="41" fontId="4" fillId="3" borderId="0" xfId="2" applyFont="1" applyFill="1" applyAlignment="1">
      <alignment horizontal="center"/>
    </xf>
    <xf numFmtId="41" fontId="4" fillId="3" borderId="0" xfId="2" applyFont="1" applyFill="1" applyAlignment="1"/>
    <xf numFmtId="41" fontId="1" fillId="3" borderId="0" xfId="2" applyFont="1" applyFill="1" applyAlignment="1"/>
    <xf numFmtId="0" fontId="0" fillId="9" borderId="0" xfId="0" applyFill="1"/>
    <xf numFmtId="0" fontId="0" fillId="9" borderId="0" xfId="0" applyFill="1" applyAlignment="1">
      <alignment horizontal="center"/>
    </xf>
    <xf numFmtId="41" fontId="4" fillId="9" borderId="0" xfId="2" applyFont="1" applyFill="1" applyAlignment="1">
      <alignment horizontal="center"/>
    </xf>
    <xf numFmtId="41" fontId="1" fillId="9" borderId="0" xfId="2" applyFont="1" applyFill="1" applyAlignment="1"/>
    <xf numFmtId="0" fontId="0" fillId="12" borderId="0" xfId="0" applyFill="1"/>
    <xf numFmtId="0" fontId="0" fillId="12" borderId="0" xfId="0" applyFill="1" applyAlignment="1">
      <alignment horizontal="center"/>
    </xf>
    <xf numFmtId="41" fontId="4" fillId="12" borderId="0" xfId="2" applyFont="1" applyFill="1" applyAlignment="1">
      <alignment horizontal="center"/>
    </xf>
    <xf numFmtId="41" fontId="1" fillId="12" borderId="0" xfId="2" applyFont="1" applyFill="1" applyAlignment="1"/>
    <xf numFmtId="0" fontId="0" fillId="19" borderId="0" xfId="0" applyFill="1"/>
    <xf numFmtId="0" fontId="0" fillId="19" borderId="0" xfId="0" applyFill="1" applyAlignment="1">
      <alignment horizontal="center"/>
    </xf>
    <xf numFmtId="41" fontId="4" fillId="19" borderId="0" xfId="2" applyFont="1" applyFill="1" applyAlignment="1">
      <alignment horizontal="center"/>
    </xf>
    <xf numFmtId="41" fontId="1" fillId="19" borderId="0" xfId="2" applyFont="1" applyFill="1" applyAlignment="1"/>
    <xf numFmtId="0" fontId="0" fillId="20" borderId="0" xfId="0" applyFill="1"/>
    <xf numFmtId="0" fontId="0" fillId="20" borderId="0" xfId="0" applyFill="1" applyAlignment="1">
      <alignment horizontal="center"/>
    </xf>
    <xf numFmtId="41" fontId="4" fillId="20" borderId="0" xfId="2" applyFont="1" applyFill="1" applyAlignment="1">
      <alignment horizontal="center"/>
    </xf>
    <xf numFmtId="41" fontId="4" fillId="20" borderId="0" xfId="2" applyFont="1" applyFill="1" applyAlignment="1"/>
    <xf numFmtId="41" fontId="1" fillId="20" borderId="0" xfId="2" applyFont="1" applyFill="1" applyAlignment="1"/>
    <xf numFmtId="41" fontId="0" fillId="17" borderId="0" xfId="2" applyFont="1" applyFill="1" applyAlignment="1"/>
    <xf numFmtId="41" fontId="0" fillId="18" borderId="0" xfId="2" applyFont="1" applyFill="1" applyAlignment="1"/>
    <xf numFmtId="41" fontId="0" fillId="3" borderId="0" xfId="2" applyFont="1" applyFill="1" applyAlignment="1"/>
    <xf numFmtId="41" fontId="0" fillId="9" borderId="0" xfId="2" applyFont="1" applyFill="1" applyAlignment="1"/>
    <xf numFmtId="41" fontId="0" fillId="12" borderId="0" xfId="2" applyFont="1" applyFill="1" applyAlignment="1"/>
    <xf numFmtId="41" fontId="0" fillId="19" borderId="0" xfId="2" applyFont="1" applyFill="1" applyAlignment="1"/>
    <xf numFmtId="41" fontId="0" fillId="20" borderId="0" xfId="2" applyFont="1" applyFill="1" applyAlignment="1"/>
    <xf numFmtId="0" fontId="4" fillId="19" borderId="0" xfId="0" applyFont="1" applyFill="1" applyAlignment="1">
      <alignment horizontal="center"/>
    </xf>
    <xf numFmtId="164" fontId="0" fillId="0" borderId="0" xfId="1" applyNumberFormat="1" applyFont="1"/>
    <xf numFmtId="164" fontId="0" fillId="17" borderId="0" xfId="1" applyNumberFormat="1" applyFont="1" applyFill="1"/>
    <xf numFmtId="164" fontId="0" fillId="18" borderId="0" xfId="1" applyNumberFormat="1" applyFont="1" applyFill="1"/>
    <xf numFmtId="164" fontId="0" fillId="3" borderId="0" xfId="1" applyNumberFormat="1" applyFont="1" applyFill="1"/>
    <xf numFmtId="164" fontId="0" fillId="9" borderId="0" xfId="1" applyNumberFormat="1" applyFont="1" applyFill="1"/>
    <xf numFmtId="164" fontId="0" fillId="12" borderId="0" xfId="1" applyNumberFormat="1" applyFont="1" applyFill="1"/>
    <xf numFmtId="164" fontId="0" fillId="19" borderId="0" xfId="1" applyNumberFormat="1" applyFont="1" applyFill="1"/>
    <xf numFmtId="164" fontId="0" fillId="20" borderId="0" xfId="1" applyNumberFormat="1" applyFont="1" applyFill="1"/>
    <xf numFmtId="165" fontId="0" fillId="0" borderId="0" xfId="3" applyNumberFormat="1" applyFont="1"/>
    <xf numFmtId="165" fontId="4" fillId="7" borderId="5" xfId="3" applyNumberFormat="1" applyFont="1" applyFill="1" applyBorder="1" applyAlignment="1">
      <alignment horizontal="center" vertical="center"/>
    </xf>
    <xf numFmtId="165" fontId="0" fillId="17" borderId="0" xfId="3" applyNumberFormat="1" applyFont="1" applyFill="1"/>
    <xf numFmtId="165" fontId="0" fillId="18" borderId="0" xfId="3" applyNumberFormat="1" applyFont="1" applyFill="1"/>
    <xf numFmtId="165" fontId="0" fillId="3" borderId="0" xfId="3" applyNumberFormat="1" applyFont="1" applyFill="1"/>
    <xf numFmtId="165" fontId="1" fillId="3" borderId="0" xfId="3" applyNumberFormat="1" applyFont="1" applyFill="1" applyAlignment="1"/>
    <xf numFmtId="165" fontId="0" fillId="9" borderId="0" xfId="3" applyNumberFormat="1" applyFont="1" applyFill="1"/>
    <xf numFmtId="165" fontId="0" fillId="12" borderId="0" xfId="3" applyNumberFormat="1" applyFont="1" applyFill="1"/>
    <xf numFmtId="165" fontId="0" fillId="19" borderId="0" xfId="3" applyNumberFormat="1" applyFont="1" applyFill="1"/>
    <xf numFmtId="165" fontId="0" fillId="20" borderId="0" xfId="3" applyNumberFormat="1" applyFont="1" applyFill="1"/>
    <xf numFmtId="164" fontId="4" fillId="7" borderId="6" xfId="1" applyNumberFormat="1" applyFont="1" applyFill="1" applyBorder="1" applyAlignment="1">
      <alignment horizontal="center" vertical="center"/>
    </xf>
    <xf numFmtId="9" fontId="9" fillId="0" borderId="0" xfId="3" applyFont="1" applyAlignment="1">
      <alignment vertical="center"/>
    </xf>
    <xf numFmtId="9" fontId="4" fillId="0" borderId="0" xfId="3" applyFont="1" applyAlignment="1">
      <alignment horizontal="center" vertical="center"/>
    </xf>
    <xf numFmtId="9" fontId="2" fillId="7" borderId="0" xfId="3" applyFont="1" applyFill="1" applyAlignment="1">
      <alignment vertical="center"/>
    </xf>
    <xf numFmtId="9" fontId="0" fillId="0" borderId="0" xfId="3" applyFont="1"/>
    <xf numFmtId="9" fontId="2" fillId="0" borderId="0" xfId="3" applyFont="1" applyAlignment="1">
      <alignment vertical="center"/>
    </xf>
    <xf numFmtId="9" fontId="2" fillId="7" borderId="0" xfId="3" quotePrefix="1" applyFont="1" applyFill="1" applyAlignment="1">
      <alignment vertical="center"/>
    </xf>
    <xf numFmtId="164" fontId="4" fillId="0" borderId="0" xfId="1" applyNumberFormat="1" applyFont="1" applyAlignment="1">
      <alignment vertical="center"/>
    </xf>
    <xf numFmtId="41" fontId="0" fillId="2" borderId="0" xfId="0" applyNumberFormat="1" applyFill="1" applyAlignment="1">
      <alignment horizontal="center" vertical="center"/>
    </xf>
    <xf numFmtId="41" fontId="2" fillId="5" borderId="0" xfId="0" applyNumberFormat="1" applyFont="1" applyFill="1" applyAlignment="1">
      <alignment horizontal="center" vertical="center"/>
    </xf>
    <xf numFmtId="164" fontId="2" fillId="5" borderId="0" xfId="1" applyNumberFormat="1" applyFont="1" applyFill="1" applyAlignment="1">
      <alignment horizontal="center" vertical="center"/>
    </xf>
    <xf numFmtId="164" fontId="0" fillId="12" borderId="0" xfId="1" applyNumberFormat="1" applyFont="1" applyFill="1" applyAlignment="1">
      <alignment horizontal="center" vertical="center"/>
    </xf>
    <xf numFmtId="0" fontId="0" fillId="15" borderId="0" xfId="0" applyFill="1" applyAlignment="1">
      <alignment vertical="center"/>
    </xf>
    <xf numFmtId="0" fontId="0" fillId="16" borderId="0" xfId="0" applyFill="1" applyAlignment="1">
      <alignment vertical="center"/>
    </xf>
    <xf numFmtId="41" fontId="0" fillId="12" borderId="0" xfId="0" applyNumberFormat="1" applyFill="1" applyAlignment="1">
      <alignment horizontal="center" vertical="center"/>
    </xf>
    <xf numFmtId="0" fontId="2" fillId="12" borderId="0" xfId="0" applyFont="1" applyFill="1" applyAlignment="1">
      <alignment vertical="center"/>
    </xf>
    <xf numFmtId="164" fontId="2" fillId="12" borderId="0" xfId="1" applyNumberFormat="1" applyFont="1" applyFill="1" applyAlignment="1">
      <alignment vertical="center"/>
    </xf>
    <xf numFmtId="164" fontId="0" fillId="12" borderId="0" xfId="1" applyNumberFormat="1" applyFont="1" applyFill="1" applyAlignment="1">
      <alignment horizontal="center"/>
    </xf>
    <xf numFmtId="41" fontId="0" fillId="5" borderId="0" xfId="0" applyNumberFormat="1" applyFill="1" applyAlignment="1">
      <alignment horizontal="center" vertical="center"/>
    </xf>
    <xf numFmtId="41" fontId="2" fillId="21" borderId="0" xfId="0" applyNumberFormat="1" applyFont="1" applyFill="1" applyAlignment="1">
      <alignment horizontal="center" vertical="center"/>
    </xf>
    <xf numFmtId="41" fontId="0" fillId="21" borderId="0" xfId="0" applyNumberFormat="1" applyFill="1" applyAlignment="1">
      <alignment horizontal="center" vertical="center"/>
    </xf>
    <xf numFmtId="164" fontId="2" fillId="21" borderId="0" xfId="1" applyNumberFormat="1" applyFont="1" applyFill="1" applyAlignment="1">
      <alignment vertical="center"/>
    </xf>
    <xf numFmtId="164" fontId="2" fillId="21" borderId="0" xfId="0" applyNumberFormat="1" applyFont="1" applyFill="1" applyAlignment="1">
      <alignment vertical="center"/>
    </xf>
    <xf numFmtId="41" fontId="8" fillId="21" borderId="0" xfId="0" applyNumberFormat="1" applyFont="1" applyFill="1" applyAlignment="1">
      <alignment horizontal="center" vertical="center"/>
    </xf>
    <xf numFmtId="9" fontId="0" fillId="9" borderId="0" xfId="0" applyNumberFormat="1" applyFill="1" applyAlignment="1">
      <alignment horizontal="center" vertical="center"/>
    </xf>
    <xf numFmtId="164" fontId="2" fillId="21" borderId="0" xfId="1" applyNumberFormat="1" applyFont="1" applyFill="1"/>
    <xf numFmtId="3" fontId="0" fillId="21" borderId="0" xfId="0" applyNumberFormat="1" applyFill="1"/>
    <xf numFmtId="41" fontId="2" fillId="22" borderId="0" xfId="2" applyFont="1" applyFill="1" applyAlignment="1">
      <alignment vertical="center"/>
    </xf>
    <xf numFmtId="10" fontId="2" fillId="22" borderId="0" xfId="3" applyNumberFormat="1" applyFont="1" applyFill="1" applyAlignment="1">
      <alignment vertical="center"/>
    </xf>
    <xf numFmtId="164" fontId="2" fillId="22" borderId="0" xfId="1" applyNumberFormat="1" applyFont="1" applyFill="1" applyAlignment="1">
      <alignment vertical="center"/>
    </xf>
    <xf numFmtId="2" fontId="2" fillId="10" borderId="0" xfId="0" applyNumberFormat="1" applyFont="1" applyFill="1" applyAlignment="1">
      <alignment vertical="center"/>
    </xf>
    <xf numFmtId="2" fontId="2" fillId="15" borderId="0" xfId="0" applyNumberFormat="1" applyFont="1" applyFill="1" applyAlignment="1">
      <alignment vertical="center"/>
    </xf>
    <xf numFmtId="2" fontId="2" fillId="14" borderId="0" xfId="0" applyNumberFormat="1" applyFont="1" applyFill="1" applyAlignment="1">
      <alignment vertical="center"/>
    </xf>
    <xf numFmtId="4" fontId="2" fillId="15" borderId="0" xfId="0" applyNumberFormat="1" applyFont="1" applyFill="1" applyAlignment="1">
      <alignment vertical="center"/>
    </xf>
    <xf numFmtId="4" fontId="2" fillId="10" borderId="0" xfId="0" applyNumberFormat="1" applyFont="1" applyFill="1" applyAlignment="1">
      <alignment vertical="center"/>
    </xf>
    <xf numFmtId="49" fontId="2" fillId="10" borderId="0" xfId="0" applyNumberFormat="1" applyFont="1" applyFill="1" applyAlignment="1">
      <alignment vertical="center"/>
    </xf>
    <xf numFmtId="49" fontId="2" fillId="15" borderId="0" xfId="0" applyNumberFormat="1" applyFont="1" applyFill="1" applyAlignment="1">
      <alignment vertical="center"/>
    </xf>
    <xf numFmtId="49" fontId="2" fillId="16" borderId="0" xfId="0" applyNumberFormat="1" applyFont="1" applyFill="1" applyAlignment="1">
      <alignment vertical="center"/>
    </xf>
    <xf numFmtId="49" fontId="0" fillId="10" borderId="0" xfId="0" applyNumberFormat="1" applyFill="1" applyAlignment="1">
      <alignment vertical="center"/>
    </xf>
    <xf numFmtId="2" fontId="0" fillId="10" borderId="0" xfId="0" applyNumberFormat="1" applyFill="1" applyAlignment="1">
      <alignment vertical="center"/>
    </xf>
    <xf numFmtId="2" fontId="0" fillId="15" borderId="0" xfId="0" applyNumberFormat="1" applyFill="1" applyAlignment="1">
      <alignment vertical="center"/>
    </xf>
    <xf numFmtId="4" fontId="0" fillId="15" borderId="0" xfId="0" applyNumberFormat="1" applyFill="1" applyAlignment="1">
      <alignment vertical="center"/>
    </xf>
    <xf numFmtId="4" fontId="0" fillId="10" borderId="0" xfId="0" applyNumberFormat="1" applyFill="1" applyAlignment="1">
      <alignment vertical="center"/>
    </xf>
    <xf numFmtId="49" fontId="0" fillId="15" borderId="0" xfId="0" applyNumberFormat="1" applyFill="1" applyAlignment="1">
      <alignment vertical="center"/>
    </xf>
    <xf numFmtId="49" fontId="0" fillId="16" borderId="0" xfId="0" applyNumberFormat="1" applyFill="1" applyAlignment="1">
      <alignment vertical="center"/>
    </xf>
    <xf numFmtId="10" fontId="9" fillId="0" borderId="0" xfId="3" applyNumberFormat="1" applyFont="1" applyAlignment="1">
      <alignment vertical="center"/>
    </xf>
    <xf numFmtId="164" fontId="2" fillId="21" borderId="0" xfId="1" quotePrefix="1" applyNumberFormat="1" applyFont="1" applyFill="1" applyAlignment="1">
      <alignment vertical="center"/>
    </xf>
    <xf numFmtId="164" fontId="2" fillId="5" borderId="0" xfId="0" applyNumberFormat="1" applyFont="1" applyFill="1" applyAlignment="1">
      <alignment vertical="center"/>
    </xf>
    <xf numFmtId="41" fontId="4" fillId="7" borderId="0" xfId="2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41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center"/>
    </xf>
    <xf numFmtId="41" fontId="4" fillId="14" borderId="0" xfId="2" applyFont="1" applyFill="1" applyAlignment="1"/>
    <xf numFmtId="0" fontId="0" fillId="7" borderId="0" xfId="0" applyFill="1"/>
    <xf numFmtId="41" fontId="1" fillId="7" borderId="0" xfId="2" applyFont="1" applyFill="1" applyAlignment="1">
      <alignment vertical="center"/>
    </xf>
    <xf numFmtId="41" fontId="4" fillId="7" borderId="0" xfId="2" applyFont="1" applyFill="1" applyAlignment="1">
      <alignment horizontal="center"/>
    </xf>
    <xf numFmtId="3" fontId="0" fillId="7" borderId="0" xfId="0" applyNumberFormat="1" applyFill="1"/>
    <xf numFmtId="41" fontId="4" fillId="7" borderId="0" xfId="2" applyFont="1" applyFill="1" applyAlignment="1"/>
    <xf numFmtId="41" fontId="1" fillId="7" borderId="0" xfId="2" applyFont="1" applyFill="1" applyAlignment="1"/>
    <xf numFmtId="164" fontId="0" fillId="7" borderId="0" xfId="1" applyNumberFormat="1" applyFont="1" applyFill="1"/>
    <xf numFmtId="164" fontId="4" fillId="7" borderId="0" xfId="1" applyNumberFormat="1" applyFont="1" applyFill="1" applyAlignment="1">
      <alignment horizontal="center"/>
    </xf>
    <xf numFmtId="164" fontId="4" fillId="3" borderId="0" xfId="1" applyNumberFormat="1" applyFont="1" applyFill="1" applyAlignment="1">
      <alignment horizontal="center"/>
    </xf>
    <xf numFmtId="164" fontId="2" fillId="23" borderId="0" xfId="1" applyNumberFormat="1" applyFont="1" applyFill="1" applyAlignment="1">
      <alignment horizontal="center" vertical="center"/>
    </xf>
    <xf numFmtId="41" fontId="6" fillId="0" borderId="0" xfId="2" applyFont="1" applyFill="1" applyAlignment="1">
      <alignment horizontal="left"/>
    </xf>
    <xf numFmtId="41" fontId="6" fillId="17" borderId="0" xfId="2" applyFont="1" applyFill="1" applyAlignment="1">
      <alignment horizontal="left"/>
    </xf>
    <xf numFmtId="41" fontId="6" fillId="17" borderId="0" xfId="2" applyFont="1" applyFill="1" applyAlignment="1">
      <alignment horizontal="left" vertical="center"/>
    </xf>
    <xf numFmtId="41" fontId="6" fillId="18" borderId="0" xfId="2" applyFont="1" applyFill="1" applyAlignment="1">
      <alignment horizontal="left"/>
    </xf>
    <xf numFmtId="41" fontId="6" fillId="3" borderId="0" xfId="2" applyFont="1" applyFill="1" applyAlignment="1">
      <alignment horizontal="left"/>
    </xf>
    <xf numFmtId="41" fontId="6" fillId="9" borderId="0" xfId="2" applyFont="1" applyFill="1" applyAlignment="1">
      <alignment horizontal="left"/>
    </xf>
    <xf numFmtId="41" fontId="6" fillId="12" borderId="0" xfId="2" applyFont="1" applyFill="1" applyAlignment="1">
      <alignment horizontal="left"/>
    </xf>
    <xf numFmtId="41" fontId="6" fillId="19" borderId="0" xfId="2" applyFont="1" applyFill="1" applyAlignment="1">
      <alignment horizontal="left"/>
    </xf>
    <xf numFmtId="41" fontId="6" fillId="20" borderId="0" xfId="2" applyFont="1" applyFill="1" applyAlignment="1">
      <alignment horizontal="left"/>
    </xf>
    <xf numFmtId="0" fontId="0" fillId="0" borderId="0" xfId="0"/>
    <xf numFmtId="2" fontId="0" fillId="14" borderId="0" xfId="0" applyNumberFormat="1" applyFill="1" applyAlignment="1">
      <alignment vertical="center"/>
    </xf>
    <xf numFmtId="0" fontId="0" fillId="14" borderId="0" xfId="0" applyFill="1" applyAlignment="1">
      <alignment vertical="center"/>
    </xf>
    <xf numFmtId="4" fontId="0" fillId="14" borderId="0" xfId="0" applyNumberFormat="1" applyFill="1" applyAlignment="1">
      <alignment vertical="center"/>
    </xf>
    <xf numFmtId="0" fontId="0" fillId="14" borderId="0" xfId="0" applyFill="1" applyAlignment="1">
      <alignment horizontal="center"/>
    </xf>
    <xf numFmtId="3" fontId="0" fillId="14" borderId="0" xfId="0" applyNumberFormat="1" applyFill="1"/>
    <xf numFmtId="41" fontId="1" fillId="14" borderId="0" xfId="2" applyFont="1" applyFill="1" applyAlignment="1"/>
    <xf numFmtId="0" fontId="0" fillId="2" borderId="0" xfId="0" applyFill="1"/>
    <xf numFmtId="41" fontId="4" fillId="2" borderId="0" xfId="2" applyFont="1" applyFill="1" applyAlignment="1"/>
    <xf numFmtId="41" fontId="1" fillId="2" borderId="0" xfId="2" applyFont="1" applyFill="1" applyAlignment="1"/>
    <xf numFmtId="164" fontId="0" fillId="2" borderId="0" xfId="1" applyNumberFormat="1" applyFont="1" applyFill="1"/>
    <xf numFmtId="41" fontId="1" fillId="2" borderId="0" xfId="2" applyFont="1" applyFill="1" applyAlignment="1">
      <alignment horizontal="center"/>
    </xf>
    <xf numFmtId="41" fontId="8" fillId="4" borderId="0" xfId="0" applyNumberFormat="1" applyFont="1" applyFill="1" applyAlignment="1">
      <alignment horizontal="center" vertical="center"/>
    </xf>
    <xf numFmtId="164" fontId="8" fillId="14" borderId="0" xfId="1" applyNumberFormat="1" applyFont="1" applyFill="1" applyAlignment="1">
      <alignment horizontal="center" vertical="center"/>
    </xf>
    <xf numFmtId="164" fontId="0" fillId="4" borderId="0" xfId="1" applyNumberFormat="1" applyFont="1" applyFill="1" applyAlignment="1">
      <alignment vertical="center"/>
    </xf>
    <xf numFmtId="164" fontId="2" fillId="4" borderId="0" xfId="1" applyNumberFormat="1" applyFont="1" applyFill="1" applyAlignment="1">
      <alignment vertical="center"/>
    </xf>
    <xf numFmtId="164" fontId="2" fillId="14" borderId="0" xfId="1" applyNumberFormat="1" applyFont="1" applyFill="1" applyAlignment="1">
      <alignment vertical="center"/>
    </xf>
    <xf numFmtId="164" fontId="2" fillId="4" borderId="0" xfId="1" applyNumberFormat="1" applyFont="1" applyFill="1"/>
    <xf numFmtId="164" fontId="2" fillId="14" borderId="0" xfId="1" applyNumberFormat="1" applyFont="1" applyFill="1"/>
    <xf numFmtId="41" fontId="2" fillId="21" borderId="0" xfId="2" applyFont="1" applyFill="1" applyAlignment="1">
      <alignment vertical="center"/>
    </xf>
    <xf numFmtId="0" fontId="0" fillId="2" borderId="0" xfId="0" applyFill="1"/>
    <xf numFmtId="0" fontId="0" fillId="2" borderId="0" xfId="0" applyFill="1"/>
    <xf numFmtId="164" fontId="0" fillId="17" borderId="0" xfId="0" applyNumberFormat="1" applyFill="1"/>
    <xf numFmtId="164" fontId="4" fillId="2" borderId="0" xfId="1" applyNumberFormat="1" applyFont="1" applyFill="1" applyAlignment="1">
      <alignment horizontal="center" vertical="center"/>
    </xf>
    <xf numFmtId="164" fontId="0" fillId="3" borderId="0" xfId="1" applyNumberFormat="1" applyFont="1" applyFill="1" applyAlignment="1"/>
    <xf numFmtId="164" fontId="0" fillId="3" borderId="0" xfId="1" applyNumberFormat="1" applyFont="1" applyFill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/>
    <xf numFmtId="0" fontId="0" fillId="0" borderId="0" xfId="0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164" fontId="0" fillId="0" borderId="0" xfId="1" applyNumberFormat="1" applyFont="1" applyFill="1"/>
    <xf numFmtId="0" fontId="2" fillId="0" borderId="0" xfId="0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164" fontId="0" fillId="0" borderId="0" xfId="0" applyNumberFormat="1" applyFill="1"/>
    <xf numFmtId="4" fontId="0" fillId="0" borderId="0" xfId="0" applyNumberForma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41" fontId="15" fillId="17" borderId="0" xfId="2" applyFont="1" applyFill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64" fontId="4" fillId="0" borderId="0" xfId="1" applyNumberFormat="1" applyFont="1" applyBorder="1" applyAlignment="1">
      <alignment vertical="center" wrapText="1"/>
    </xf>
    <xf numFmtId="164" fontId="4" fillId="0" borderId="0" xfId="1" applyNumberFormat="1" applyFont="1" applyBorder="1" applyAlignment="1">
      <alignment vertical="center"/>
    </xf>
    <xf numFmtId="0" fontId="9" fillId="0" borderId="0" xfId="0" applyFont="1"/>
    <xf numFmtId="41" fontId="9" fillId="0" borderId="0" xfId="0" applyNumberFormat="1" applyFont="1" applyAlignment="1">
      <alignment vertical="center"/>
    </xf>
    <xf numFmtId="164" fontId="0" fillId="22" borderId="0" xfId="1" applyNumberFormat="1" applyFont="1" applyFill="1" applyAlignment="1">
      <alignment horizontal="center"/>
    </xf>
    <xf numFmtId="164" fontId="0" fillId="4" borderId="0" xfId="1" applyNumberFormat="1" applyFont="1" applyFill="1" applyAlignment="1">
      <alignment horizontal="center"/>
    </xf>
    <xf numFmtId="41" fontId="1" fillId="0" borderId="0" xfId="2" applyFont="1" applyFill="1" applyAlignment="1">
      <alignment horizontal="center" vertical="center"/>
    </xf>
    <xf numFmtId="41" fontId="16" fillId="0" borderId="0" xfId="2" applyFont="1" applyFill="1" applyAlignment="1">
      <alignment horizontal="center" vertical="center"/>
    </xf>
    <xf numFmtId="41" fontId="1" fillId="0" borderId="0" xfId="2" applyFont="1" applyFill="1" applyAlignment="1">
      <alignment vertical="center"/>
    </xf>
    <xf numFmtId="41" fontId="0" fillId="0" borderId="0" xfId="0" applyNumberFormat="1" applyFont="1" applyFill="1" applyAlignment="1">
      <alignment horizontal="center" vertical="center"/>
    </xf>
    <xf numFmtId="164" fontId="0" fillId="7" borderId="0" xfId="1" applyNumberFormat="1" applyFont="1" applyFill="1" applyAlignment="1">
      <alignment horizontal="center"/>
    </xf>
    <xf numFmtId="9" fontId="2" fillId="24" borderId="0" xfId="3" applyFont="1" applyFill="1" applyAlignment="1">
      <alignment vertical="center"/>
    </xf>
    <xf numFmtId="10" fontId="2" fillId="0" borderId="0" xfId="3" applyNumberFormat="1" applyFont="1" applyAlignment="1">
      <alignment vertical="center"/>
    </xf>
    <xf numFmtId="10" fontId="4" fillId="0" borderId="0" xfId="3" applyNumberFormat="1" applyFont="1" applyAlignment="1">
      <alignment horizontal="center" vertical="center"/>
    </xf>
    <xf numFmtId="10" fontId="4" fillId="7" borderId="5" xfId="3" applyNumberFormat="1" applyFont="1" applyFill="1" applyBorder="1" applyAlignment="1">
      <alignment horizontal="center" vertical="center"/>
    </xf>
    <xf numFmtId="10" fontId="2" fillId="24" borderId="0" xfId="3" applyNumberFormat="1" applyFont="1" applyFill="1" applyAlignment="1">
      <alignment vertical="center"/>
    </xf>
    <xf numFmtId="0" fontId="0" fillId="0" borderId="0" xfId="0"/>
    <xf numFmtId="0" fontId="0" fillId="16" borderId="8" xfId="0" applyFill="1" applyBorder="1" applyAlignment="1">
      <alignment horizontal="center"/>
    </xf>
    <xf numFmtId="0" fontId="13" fillId="16" borderId="0" xfId="0" applyFont="1" applyFill="1" applyAlignment="1">
      <alignment vertical="center"/>
    </xf>
    <xf numFmtId="41" fontId="6" fillId="16" borderId="0" xfId="2" applyFont="1" applyFill="1" applyAlignment="1">
      <alignment horizontal="center" vertical="center"/>
    </xf>
    <xf numFmtId="41" fontId="13" fillId="16" borderId="0" xfId="2" applyFont="1" applyFill="1" applyAlignment="1">
      <alignment horizontal="center" vertical="center"/>
    </xf>
    <xf numFmtId="41" fontId="14" fillId="16" borderId="0" xfId="2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18" fillId="16" borderId="0" xfId="0" applyFont="1" applyFill="1" applyBorder="1" applyAlignment="1">
      <alignment horizontal="center"/>
    </xf>
    <xf numFmtId="0" fontId="2" fillId="16" borderId="0" xfId="0" applyFont="1" applyFill="1" applyBorder="1" applyAlignment="1">
      <alignment vertical="center"/>
    </xf>
    <xf numFmtId="0" fontId="0" fillId="16" borderId="0" xfId="0" applyFont="1" applyFill="1" applyBorder="1" applyAlignment="1">
      <alignment horizontal="center"/>
    </xf>
    <xf numFmtId="0" fontId="2" fillId="16" borderId="0" xfId="0" applyFont="1" applyFill="1" applyBorder="1" applyAlignment="1">
      <alignment horizontal="center" vertical="center"/>
    </xf>
    <xf numFmtId="0" fontId="0" fillId="16" borderId="0" xfId="0" applyFill="1" applyBorder="1" applyAlignment="1">
      <alignment horizontal="center"/>
    </xf>
    <xf numFmtId="41" fontId="0" fillId="16" borderId="0" xfId="2" applyFont="1" applyFill="1" applyBorder="1" applyAlignment="1">
      <alignment horizontal="right"/>
    </xf>
    <xf numFmtId="41" fontId="0" fillId="16" borderId="0" xfId="0" applyNumberFormat="1" applyFill="1" applyBorder="1" applyAlignment="1">
      <alignment horizontal="center" vertical="center"/>
    </xf>
    <xf numFmtId="41" fontId="0" fillId="16" borderId="0" xfId="2" applyFont="1" applyFill="1" applyBorder="1" applyAlignment="1">
      <alignment horizontal="center"/>
    </xf>
    <xf numFmtId="41" fontId="4" fillId="16" borderId="0" xfId="2" applyFont="1" applyFill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0" fillId="16" borderId="0" xfId="0" applyFont="1" applyFill="1" applyBorder="1" applyAlignment="1">
      <alignment horizontal="center" vertical="center"/>
    </xf>
    <xf numFmtId="0" fontId="0" fillId="16" borderId="0" xfId="0" applyFill="1" applyBorder="1" applyAlignment="1">
      <alignment horizontal="center" vertical="center"/>
    </xf>
    <xf numFmtId="41" fontId="2" fillId="16" borderId="0" xfId="2" applyNumberFormat="1" applyFont="1" applyFill="1" applyBorder="1" applyAlignment="1">
      <alignment horizontal="left" vertical="center"/>
    </xf>
    <xf numFmtId="3" fontId="0" fillId="16" borderId="0" xfId="0" applyNumberFormat="1" applyFill="1" applyBorder="1" applyAlignment="1">
      <alignment horizontal="right"/>
    </xf>
    <xf numFmtId="41" fontId="2" fillId="16" borderId="0" xfId="0" applyNumberFormat="1" applyFont="1" applyFill="1" applyBorder="1" applyAlignment="1">
      <alignment vertical="center"/>
    </xf>
    <xf numFmtId="41" fontId="0" fillId="7" borderId="0" xfId="2" applyFont="1" applyFill="1" applyBorder="1" applyAlignment="1">
      <alignment horizontal="right"/>
    </xf>
    <xf numFmtId="0" fontId="2" fillId="13" borderId="0" xfId="0" applyFont="1" applyFill="1" applyBorder="1" applyAlignment="1">
      <alignment horizontal="center" vertical="center"/>
    </xf>
    <xf numFmtId="41" fontId="0" fillId="7" borderId="0" xfId="2" applyFont="1" applyFill="1" applyBorder="1" applyAlignment="1">
      <alignment horizontal="center"/>
    </xf>
    <xf numFmtId="41" fontId="0" fillId="16" borderId="0" xfId="2" applyFont="1" applyFill="1" applyBorder="1"/>
    <xf numFmtId="41" fontId="7" fillId="16" borderId="0" xfId="2" applyFont="1" applyFill="1" applyBorder="1" applyAlignment="1">
      <alignment horizontal="center" vertical="center"/>
    </xf>
    <xf numFmtId="41" fontId="0" fillId="7" borderId="0" xfId="2" applyFont="1" applyFill="1" applyBorder="1"/>
    <xf numFmtId="0" fontId="2" fillId="0" borderId="0" xfId="0" applyFont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0" fillId="0" borderId="0" xfId="2" applyFont="1" applyAlignment="1">
      <alignment horizontal="right"/>
    </xf>
    <xf numFmtId="0" fontId="5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165" fontId="4" fillId="10" borderId="7" xfId="3" applyNumberFormat="1" applyFont="1" applyFill="1" applyBorder="1" applyAlignment="1">
      <alignment horizontal="center" vertical="center"/>
    </xf>
    <xf numFmtId="164" fontId="4" fillId="10" borderId="7" xfId="1" applyNumberFormat="1" applyFont="1" applyFill="1" applyBorder="1" applyAlignment="1">
      <alignment horizontal="center" vertical="center" wrapText="1"/>
    </xf>
    <xf numFmtId="164" fontId="4" fillId="10" borderId="7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22" borderId="0" xfId="0" applyFill="1" applyAlignment="1">
      <alignment horizontal="center"/>
    </xf>
    <xf numFmtId="0" fontId="0" fillId="4" borderId="0" xfId="0" applyFill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" fontId="0" fillId="22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16" fontId="0" fillId="7" borderId="0" xfId="0" applyNumberFormat="1" applyFill="1" applyAlignment="1">
      <alignment horizontal="center"/>
    </xf>
    <xf numFmtId="0" fontId="18" fillId="16" borderId="8" xfId="0" applyFont="1" applyFill="1" applyBorder="1" applyAlignment="1">
      <alignment horizontal="center"/>
    </xf>
    <xf numFmtId="0" fontId="0" fillId="0" borderId="8" xfId="0" applyBorder="1"/>
    <xf numFmtId="0" fontId="17" fillId="16" borderId="8" xfId="0" applyFont="1" applyFill="1" applyBorder="1" applyAlignment="1">
      <alignment horizontal="center" vertical="center"/>
    </xf>
    <xf numFmtId="9" fontId="2" fillId="7" borderId="0" xfId="3" applyNumberFormat="1" applyFont="1" applyFill="1" applyAlignment="1">
      <alignment vertical="center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filterMode="1">
    <tabColor rgb="FF92D050"/>
  </sheetPr>
  <dimension ref="A2:CA286"/>
  <sheetViews>
    <sheetView tabSelected="1" zoomScale="85" zoomScaleNormal="85" workbookViewId="0">
      <pane xSplit="8" ySplit="4" topLeftCell="J156" activePane="bottomRight" state="frozen"/>
      <selection pane="topRight" activeCell="I1" sqref="I1"/>
      <selection pane="bottomLeft" activeCell="A5" sqref="A5"/>
      <selection pane="bottomRight" activeCell="C281" sqref="C281"/>
    </sheetView>
  </sheetViews>
  <sheetFormatPr defaultColWidth="9.109375" defaultRowHeight="14.4"/>
  <cols>
    <col min="1" max="1" width="7.33203125" style="2" customWidth="1"/>
    <col min="2" max="2" width="5.109375" style="1" customWidth="1"/>
    <col min="3" max="3" width="10.88671875" style="2" customWidth="1"/>
    <col min="4" max="4" width="7.6640625" style="2" customWidth="1"/>
    <col min="5" max="5" width="13.109375" style="2" customWidth="1"/>
    <col min="6" max="6" width="10.5546875" style="1" customWidth="1"/>
    <col min="7" max="7" width="9.109375" style="2"/>
    <col min="8" max="8" width="45.88671875" style="2" customWidth="1"/>
    <col min="9" max="9" width="23.6640625" style="2" customWidth="1"/>
    <col min="10" max="10" width="14.33203125" style="319" customWidth="1"/>
    <col min="11" max="11" width="13.33203125" style="2" customWidth="1"/>
    <col min="12" max="15" width="12.44140625" style="2" customWidth="1"/>
    <col min="16" max="16" width="18.33203125" style="210" customWidth="1"/>
    <col min="17" max="17" width="88.6640625" style="2" customWidth="1"/>
    <col min="18" max="18" width="10.33203125" style="3" bestFit="1" customWidth="1"/>
    <col min="19" max="19" width="9" style="2" bestFit="1" customWidth="1"/>
    <col min="20" max="20" width="11.33203125" style="2" bestFit="1" customWidth="1"/>
    <col min="21" max="21" width="12" style="2" customWidth="1"/>
    <col min="22" max="22" width="7.6640625" style="2" customWidth="1"/>
    <col min="23" max="23" width="12.109375" style="2" customWidth="1"/>
    <col min="24" max="24" width="10" style="287" bestFit="1" customWidth="1"/>
    <col min="25" max="25" width="9" style="2" customWidth="1"/>
    <col min="26" max="26" width="9.6640625" style="2" customWidth="1"/>
    <col min="27" max="27" width="8.109375" style="2" customWidth="1"/>
    <col min="28" max="28" width="14.88671875" style="2" customWidth="1"/>
    <col min="29" max="29" width="15.5546875" style="287" bestFit="1" customWidth="1"/>
    <col min="30" max="31" width="9.33203125" style="2" customWidth="1"/>
    <col min="32" max="33" width="9.5546875" style="2" customWidth="1"/>
    <col min="34" max="34" width="9.109375" style="2"/>
    <col min="35" max="35" width="10.44140625" style="3" customWidth="1"/>
    <col min="36" max="38" width="0" style="2" hidden="1" customWidth="1"/>
    <col min="39" max="39" width="9.109375" style="3"/>
    <col min="40" max="40" width="8.88671875" style="2" hidden="1" customWidth="1"/>
    <col min="41" max="42" width="0" style="2" hidden="1" customWidth="1"/>
    <col min="43" max="43" width="9.5546875" style="3" bestFit="1" customWidth="1"/>
    <col min="44" max="45" width="0" style="2" hidden="1" customWidth="1"/>
    <col min="46" max="46" width="9.109375" style="2"/>
    <col min="47" max="47" width="9.109375" style="3"/>
    <col min="48" max="50" width="9.109375" style="2"/>
    <col min="51" max="51" width="9.109375" style="3"/>
    <col min="52" max="53" width="9.109375" style="2"/>
    <col min="54" max="54" width="8.44140625" style="2" bestFit="1" customWidth="1"/>
    <col min="55" max="55" width="9" style="3" bestFit="1" customWidth="1"/>
    <col min="56" max="58" width="9.109375" style="2"/>
    <col min="59" max="59" width="0" style="3" hidden="1" customWidth="1"/>
    <col min="60" max="62" width="0" style="2" hidden="1" customWidth="1"/>
    <col min="63" max="63" width="11.5546875" style="3" bestFit="1" customWidth="1"/>
    <col min="64" max="66" width="9.109375" style="2"/>
    <col min="67" max="67" width="9.109375" style="3"/>
    <col min="68" max="70" width="9.109375" style="2"/>
    <col min="71" max="71" width="9.109375" style="3"/>
    <col min="72" max="74" width="9.109375" style="2"/>
    <col min="75" max="75" width="9.109375" style="3"/>
    <col min="76" max="16384" width="9.109375" style="2"/>
  </cols>
  <sheetData>
    <row r="2" spans="1:79" ht="25.8">
      <c r="B2" s="4" t="s">
        <v>0</v>
      </c>
      <c r="X2" s="206" t="e">
        <f>AVERAGE(X5:X268)</f>
        <v>#DIV/0!</v>
      </c>
      <c r="Y2" s="6"/>
      <c r="Z2" s="278">
        <v>4008</v>
      </c>
      <c r="AA2" s="6"/>
      <c r="AB2" s="6"/>
      <c r="AC2" s="206" t="e">
        <f>AVERAGE(AC5:AC268)</f>
        <v>#REF!</v>
      </c>
      <c r="AE2" s="5"/>
      <c r="AF2" s="5"/>
      <c r="AG2" s="5"/>
      <c r="AN2" s="5"/>
      <c r="BG2" s="2"/>
      <c r="BK2" s="2"/>
    </row>
    <row r="3" spans="1:79" ht="25.8" customHeight="1">
      <c r="B3" s="4"/>
      <c r="R3" s="323" t="s">
        <v>1</v>
      </c>
      <c r="S3" s="323"/>
      <c r="T3" s="323"/>
      <c r="U3" s="323"/>
      <c r="V3" s="323"/>
      <c r="W3" s="323"/>
      <c r="X3" s="324"/>
      <c r="Y3" s="6"/>
      <c r="Z3" s="6"/>
      <c r="AA3" s="6"/>
      <c r="AB3" s="325" t="s">
        <v>2</v>
      </c>
      <c r="AC3" s="326"/>
      <c r="AD3" s="327"/>
      <c r="AE3" s="273" t="s">
        <v>39</v>
      </c>
      <c r="AF3" s="328" t="s">
        <v>4</v>
      </c>
      <c r="AG3" s="328"/>
      <c r="AH3" s="328"/>
      <c r="AI3" s="322" t="s">
        <v>5</v>
      </c>
      <c r="AJ3" s="322"/>
      <c r="AK3" s="322"/>
      <c r="AL3" s="7">
        <f>AVERAGE(AL6:AL97)</f>
        <v>-7.8409228767355718E-2</v>
      </c>
      <c r="AM3" s="322" t="s">
        <v>6</v>
      </c>
      <c r="AN3" s="322"/>
      <c r="AO3" s="322"/>
      <c r="AP3" s="7">
        <f>AVERAGE(AP6:AP97)</f>
        <v>-2.2226138722437741E-2</v>
      </c>
      <c r="AQ3" s="322" t="s">
        <v>7</v>
      </c>
      <c r="AR3" s="322"/>
      <c r="AS3" s="322"/>
      <c r="AT3" s="7">
        <f>AVERAGE(AT6:AT97)</f>
        <v>4.7123899688854491E-2</v>
      </c>
      <c r="AU3" s="322" t="s">
        <v>517</v>
      </c>
      <c r="AV3" s="322"/>
      <c r="AW3" s="322"/>
      <c r="AX3" s="7">
        <f>AVERAGE(AX6:AX97)</f>
        <v>7.6264843585846023E-2</v>
      </c>
      <c r="AY3" s="322" t="s">
        <v>8</v>
      </c>
      <c r="AZ3" s="322"/>
      <c r="BA3" s="322"/>
      <c r="BB3" s="7" t="e">
        <f>AVERAGE(BB6:BB97)</f>
        <v>#DIV/0!</v>
      </c>
      <c r="BC3" s="322" t="s">
        <v>9</v>
      </c>
      <c r="BD3" s="322"/>
      <c r="BE3" s="322"/>
      <c r="BF3" s="7">
        <f>AVERAGE(BF6:BF97)</f>
        <v>-8.0811317472593736E-2</v>
      </c>
      <c r="BG3" s="322" t="s">
        <v>10</v>
      </c>
      <c r="BH3" s="322"/>
      <c r="BI3" s="322"/>
      <c r="BJ3" s="7" t="e">
        <f>AVERAGE(BJ6:BJ97)</f>
        <v>#DIV/0!</v>
      </c>
      <c r="BK3" s="322" t="s">
        <v>11</v>
      </c>
      <c r="BL3" s="322"/>
      <c r="BM3" s="322"/>
      <c r="BN3" s="7" t="e">
        <f>AVERAGE(BN6:BN97)</f>
        <v>#VALUE!</v>
      </c>
      <c r="BO3" s="322" t="s">
        <v>12</v>
      </c>
      <c r="BP3" s="322"/>
      <c r="BQ3" s="322"/>
      <c r="BR3" s="7" t="e">
        <f>AVERAGE(BR6:BR97)</f>
        <v>#DIV/0!</v>
      </c>
      <c r="BS3" s="322" t="s">
        <v>13</v>
      </c>
      <c r="BT3" s="322"/>
      <c r="BU3" s="322"/>
      <c r="BV3" s="7" t="e">
        <f>AVERAGE(BV6:BV97)</f>
        <v>#DIV/0!</v>
      </c>
      <c r="BW3" s="322" t="s">
        <v>14</v>
      </c>
      <c r="BX3" s="322"/>
      <c r="BY3" s="322"/>
      <c r="BZ3" s="7" t="e">
        <f>AVERAGE(BZ6:BZ97)</f>
        <v>#DIV/0!</v>
      </c>
      <c r="CA3" s="8"/>
    </row>
    <row r="4" spans="1:79" s="9" customFormat="1" ht="21.6" customHeight="1">
      <c r="A4" s="9" t="s">
        <v>845</v>
      </c>
      <c r="B4" s="9" t="s">
        <v>15</v>
      </c>
      <c r="C4" s="9" t="s">
        <v>16</v>
      </c>
      <c r="D4" s="9" t="s">
        <v>17</v>
      </c>
      <c r="E4" s="9" t="s">
        <v>609</v>
      </c>
      <c r="F4" s="9">
        <f>SUM(F5:F268)</f>
        <v>0</v>
      </c>
      <c r="G4" s="9" t="s">
        <v>19</v>
      </c>
      <c r="H4" s="9" t="s">
        <v>20</v>
      </c>
      <c r="I4" s="9" t="s">
        <v>21</v>
      </c>
      <c r="J4" s="9" t="s">
        <v>22</v>
      </c>
      <c r="K4" s="9" t="s">
        <v>23</v>
      </c>
      <c r="L4" s="9" t="s">
        <v>24</v>
      </c>
      <c r="M4" s="9" t="s">
        <v>25</v>
      </c>
      <c r="N4" s="9" t="s">
        <v>26</v>
      </c>
      <c r="O4" s="9" t="s">
        <v>27</v>
      </c>
      <c r="P4" s="211" t="s">
        <v>768</v>
      </c>
      <c r="Q4" s="9" t="s">
        <v>26</v>
      </c>
      <c r="R4" s="10" t="s">
        <v>28</v>
      </c>
      <c r="S4" s="10" t="s">
        <v>29</v>
      </c>
      <c r="T4" s="10" t="s">
        <v>30</v>
      </c>
      <c r="U4" s="11" t="s">
        <v>31</v>
      </c>
      <c r="V4" s="11" t="s">
        <v>32</v>
      </c>
      <c r="W4" s="11" t="s">
        <v>33</v>
      </c>
      <c r="X4" s="288" t="s">
        <v>34</v>
      </c>
      <c r="Y4" s="12" t="s">
        <v>35</v>
      </c>
      <c r="Z4" s="12" t="s">
        <v>36</v>
      </c>
      <c r="AA4" s="12"/>
      <c r="AB4" s="13" t="s">
        <v>37</v>
      </c>
      <c r="AC4" s="289" t="s">
        <v>38</v>
      </c>
      <c r="AD4" s="14" t="s">
        <v>39</v>
      </c>
      <c r="AE4" s="274" t="s">
        <v>865</v>
      </c>
      <c r="AF4" s="15" t="s">
        <v>513</v>
      </c>
      <c r="AG4" s="15" t="s">
        <v>750</v>
      </c>
      <c r="AH4" s="16" t="s">
        <v>40</v>
      </c>
      <c r="AI4" s="58" t="s">
        <v>514</v>
      </c>
      <c r="AJ4" s="17" t="s">
        <v>41</v>
      </c>
      <c r="AK4" s="17" t="s">
        <v>42</v>
      </c>
      <c r="AL4" s="18" t="s">
        <v>40</v>
      </c>
      <c r="AM4" s="54" t="s">
        <v>515</v>
      </c>
      <c r="AN4" s="19" t="s">
        <v>43</v>
      </c>
      <c r="AO4" s="19" t="s">
        <v>44</v>
      </c>
      <c r="AP4" s="20" t="s">
        <v>40</v>
      </c>
      <c r="AQ4" s="58" t="s">
        <v>516</v>
      </c>
      <c r="AR4" s="17" t="s">
        <v>45</v>
      </c>
      <c r="AS4" s="17" t="s">
        <v>46</v>
      </c>
      <c r="AT4" s="21" t="s">
        <v>40</v>
      </c>
      <c r="AU4" s="54" t="s">
        <v>518</v>
      </c>
      <c r="AV4" s="19" t="s">
        <v>47</v>
      </c>
      <c r="AW4" s="19" t="s">
        <v>48</v>
      </c>
      <c r="AX4" s="20" t="s">
        <v>40</v>
      </c>
      <c r="AY4" s="58" t="s">
        <v>519</v>
      </c>
      <c r="AZ4" s="17" t="s">
        <v>49</v>
      </c>
      <c r="BA4" s="17" t="s">
        <v>50</v>
      </c>
      <c r="BB4" s="18" t="s">
        <v>40</v>
      </c>
      <c r="BC4" s="54" t="s">
        <v>520</v>
      </c>
      <c r="BD4" s="19" t="s">
        <v>51</v>
      </c>
      <c r="BE4" s="19" t="s">
        <v>52</v>
      </c>
      <c r="BF4" s="20" t="s">
        <v>40</v>
      </c>
      <c r="BG4" s="58" t="s">
        <v>521</v>
      </c>
      <c r="BH4" s="17" t="s">
        <v>53</v>
      </c>
      <c r="BI4" s="17" t="s">
        <v>54</v>
      </c>
      <c r="BJ4" s="18" t="s">
        <v>40</v>
      </c>
      <c r="BK4" s="54" t="s">
        <v>522</v>
      </c>
      <c r="BL4" s="19" t="s">
        <v>55</v>
      </c>
      <c r="BM4" s="19" t="s">
        <v>56</v>
      </c>
      <c r="BN4" s="20" t="s">
        <v>40</v>
      </c>
      <c r="BO4" s="58" t="s">
        <v>523</v>
      </c>
      <c r="BP4" s="17" t="s">
        <v>57</v>
      </c>
      <c r="BQ4" s="17" t="s">
        <v>58</v>
      </c>
      <c r="BR4" s="18" t="s">
        <v>40</v>
      </c>
      <c r="BS4" s="54" t="s">
        <v>524</v>
      </c>
      <c r="BT4" s="19" t="s">
        <v>59</v>
      </c>
      <c r="BU4" s="19" t="s">
        <v>60</v>
      </c>
      <c r="BV4" s="20" t="s">
        <v>40</v>
      </c>
      <c r="BW4" s="58" t="s">
        <v>525</v>
      </c>
      <c r="BX4" s="17" t="s">
        <v>61</v>
      </c>
      <c r="BY4" s="17" t="s">
        <v>62</v>
      </c>
      <c r="BZ4" s="18" t="s">
        <v>40</v>
      </c>
      <c r="CA4" s="1" t="s">
        <v>63</v>
      </c>
    </row>
    <row r="5" spans="1:79" hidden="1">
      <c r="A5" s="71" t="s">
        <v>1236</v>
      </c>
      <c r="B5" s="297"/>
      <c r="C5" s="298" t="s">
        <v>880</v>
      </c>
      <c r="D5" s="299" t="str">
        <f>REPLACE(C5,1,3, )</f>
        <v xml:space="preserve"> 249</v>
      </c>
      <c r="E5" s="300" t="s">
        <v>880</v>
      </c>
      <c r="F5" s="301">
        <f>IF(C5=E5,0,1)</f>
        <v>0</v>
      </c>
      <c r="G5" s="302" t="s">
        <v>1063</v>
      </c>
      <c r="H5" s="302" t="s">
        <v>1064</v>
      </c>
      <c r="I5" s="302" t="s">
        <v>1094</v>
      </c>
      <c r="J5" s="303">
        <v>93000</v>
      </c>
      <c r="K5" s="304">
        <f t="shared" ref="K5:K38" si="0">J5-M5</f>
        <v>6950</v>
      </c>
      <c r="L5" s="301" t="s">
        <v>69</v>
      </c>
      <c r="M5" s="305">
        <f>J5-N5</f>
        <v>86050</v>
      </c>
      <c r="N5" s="305">
        <f>2000+200+600+750+3000+400</f>
        <v>6950</v>
      </c>
      <c r="O5" s="306">
        <f t="shared" ref="O5" si="1">M5+N5</f>
        <v>93000</v>
      </c>
      <c r="P5" s="293"/>
      <c r="Q5" s="292" t="s">
        <v>1235</v>
      </c>
      <c r="R5" s="22"/>
      <c r="S5" s="22">
        <f t="shared" ref="S5:S70" si="2">R5+O5</f>
        <v>93000</v>
      </c>
      <c r="T5" s="22">
        <f t="shared" ref="T5:T70" si="3">S5/0.7</f>
        <v>132857.14285714287</v>
      </c>
      <c r="U5" s="23">
        <f t="shared" ref="U5:U70" si="4">T5/0.875</f>
        <v>151836.73469387757</v>
      </c>
      <c r="V5" s="24">
        <f t="shared" ref="V5:V70" si="5">(U5-T5)/U5</f>
        <v>0.12500000000000006</v>
      </c>
      <c r="W5" s="23">
        <f>(ROUNDUP((U5/100),0))*100</f>
        <v>151900</v>
      </c>
      <c r="X5" s="164">
        <f t="shared" ref="X5:X70" si="6">(T5-O5)/T5</f>
        <v>0.30000000000000004</v>
      </c>
      <c r="Y5" s="25"/>
      <c r="Z5" s="25"/>
      <c r="AA5" s="25"/>
      <c r="AB5" s="26"/>
      <c r="AC5" s="167"/>
      <c r="AD5" s="27"/>
      <c r="AE5" s="28"/>
      <c r="AF5" s="29"/>
      <c r="AG5" s="29"/>
      <c r="AH5" s="30"/>
      <c r="AI5" s="172" t="s">
        <v>608</v>
      </c>
      <c r="AJ5" s="29"/>
      <c r="AK5" s="29"/>
      <c r="AL5" s="30"/>
      <c r="AM5" s="172" t="s">
        <v>608</v>
      </c>
      <c r="AN5" s="29"/>
      <c r="AO5" s="29"/>
      <c r="AP5" s="30"/>
      <c r="AQ5" s="172" t="s">
        <v>608</v>
      </c>
      <c r="AR5" s="29"/>
      <c r="AS5" s="29"/>
      <c r="AT5" s="30"/>
      <c r="AU5" s="172" t="s">
        <v>608</v>
      </c>
      <c r="AV5" s="29"/>
      <c r="AW5" s="29"/>
      <c r="AX5" s="30"/>
      <c r="AY5" s="55"/>
      <c r="AZ5" s="29"/>
      <c r="BA5" s="29"/>
      <c r="BB5" s="30"/>
      <c r="BC5" s="172" t="s">
        <v>608</v>
      </c>
      <c r="BD5" s="29"/>
      <c r="BE5" s="29"/>
      <c r="BF5" s="30"/>
      <c r="BG5" s="55"/>
      <c r="BH5" s="29"/>
      <c r="BI5" s="29"/>
      <c r="BJ5" s="30"/>
      <c r="BK5" s="172" t="s">
        <v>608</v>
      </c>
      <c r="BL5" s="29"/>
      <c r="BM5" s="29"/>
      <c r="BN5" s="30"/>
      <c r="BO5" s="55"/>
      <c r="BP5" s="29"/>
      <c r="BQ5" s="29"/>
      <c r="BR5" s="30"/>
      <c r="BS5" s="55"/>
      <c r="BT5" s="29"/>
      <c r="BU5" s="29"/>
      <c r="BV5" s="30"/>
      <c r="BW5" s="55"/>
      <c r="BX5" s="29"/>
      <c r="BY5" s="29"/>
      <c r="BZ5" s="30"/>
      <c r="CA5" s="31"/>
    </row>
    <row r="6" spans="1:79" hidden="1">
      <c r="A6" s="71" t="s">
        <v>1236</v>
      </c>
      <c r="B6" s="297"/>
      <c r="C6" s="307" t="s">
        <v>681</v>
      </c>
      <c r="D6" s="299" t="str">
        <f t="shared" ref="D6:D71" si="7">REPLACE(C6,1,3, )</f>
        <v xml:space="preserve"> 853</v>
      </c>
      <c r="E6" s="308" t="s">
        <v>681</v>
      </c>
      <c r="F6" s="301">
        <f t="shared" ref="F6:F71" si="8">IF(C6=E6,0,1)</f>
        <v>0</v>
      </c>
      <c r="G6" s="309" t="s">
        <v>35</v>
      </c>
      <c r="H6" s="302" t="s">
        <v>1064</v>
      </c>
      <c r="I6" s="302" t="s">
        <v>1094</v>
      </c>
      <c r="J6" s="303">
        <v>93000</v>
      </c>
      <c r="K6" s="310">
        <f t="shared" si="0"/>
        <v>6950</v>
      </c>
      <c r="L6" s="301" t="s">
        <v>69</v>
      </c>
      <c r="M6" s="305">
        <f t="shared" ref="M6:M22" si="9">J6-N6</f>
        <v>86050</v>
      </c>
      <c r="N6" s="305">
        <f t="shared" ref="N6:N9" si="10">2000+200+600+750+3000+400</f>
        <v>6950</v>
      </c>
      <c r="O6" s="306">
        <f t="shared" ref="O6:O38" si="11">M6+N6</f>
        <v>93000</v>
      </c>
      <c r="P6" s="294"/>
      <c r="Q6" s="292" t="s">
        <v>1235</v>
      </c>
      <c r="R6" s="22"/>
      <c r="S6" s="22">
        <f t="shared" si="2"/>
        <v>93000</v>
      </c>
      <c r="T6" s="22">
        <f t="shared" si="3"/>
        <v>132857.14285714287</v>
      </c>
      <c r="U6" s="23">
        <f t="shared" si="4"/>
        <v>151836.73469387757</v>
      </c>
      <c r="V6" s="24">
        <f t="shared" si="5"/>
        <v>0.12500000000000006</v>
      </c>
      <c r="W6" s="23">
        <f t="shared" ref="W6:W71" si="12">(ROUNDUP((U6/100),0))*100</f>
        <v>151900</v>
      </c>
      <c r="X6" s="164">
        <f t="shared" si="6"/>
        <v>0.30000000000000004</v>
      </c>
      <c r="Y6" s="253">
        <v>84285.71428571429</v>
      </c>
      <c r="Z6" s="188">
        <f>T6-Y6</f>
        <v>48571.42857142858</v>
      </c>
      <c r="AA6" s="189">
        <f>Z6/Y6</f>
        <v>0.57627118644067798</v>
      </c>
      <c r="AB6" s="26"/>
      <c r="AC6" s="167"/>
      <c r="AD6" s="27"/>
      <c r="AE6" s="28"/>
      <c r="AF6" s="29"/>
      <c r="AG6" s="29"/>
      <c r="AH6" s="30"/>
      <c r="AI6" s="172" t="s">
        <v>608</v>
      </c>
      <c r="AJ6" s="29"/>
      <c r="AK6" s="29"/>
      <c r="AL6" s="30"/>
      <c r="AM6" s="172" t="s">
        <v>608</v>
      </c>
      <c r="AN6" s="29"/>
      <c r="AO6" s="29"/>
      <c r="AP6" s="30"/>
      <c r="AQ6" s="172" t="s">
        <v>608</v>
      </c>
      <c r="AR6" s="29"/>
      <c r="AS6" s="29"/>
      <c r="AT6" s="30"/>
      <c r="AU6" s="172" t="s">
        <v>608</v>
      </c>
      <c r="AV6" s="29"/>
      <c r="AW6" s="29"/>
      <c r="AX6" s="30"/>
      <c r="AY6" s="55"/>
      <c r="AZ6" s="29"/>
      <c r="BA6" s="29"/>
      <c r="BB6" s="30"/>
      <c r="BC6" s="172" t="s">
        <v>608</v>
      </c>
      <c r="BD6" s="29"/>
      <c r="BE6" s="29"/>
      <c r="BF6" s="30"/>
      <c r="BG6" s="55"/>
      <c r="BH6" s="29"/>
      <c r="BI6" s="29"/>
      <c r="BJ6" s="30"/>
      <c r="BK6" s="172" t="s">
        <v>608</v>
      </c>
      <c r="BL6" s="29"/>
      <c r="BM6" s="29"/>
      <c r="BN6" s="30"/>
      <c r="BO6" s="55"/>
      <c r="BP6" s="29"/>
      <c r="BQ6" s="29"/>
      <c r="BR6" s="30"/>
      <c r="BS6" s="55"/>
      <c r="BT6" s="29"/>
      <c r="BU6" s="29"/>
      <c r="BV6" s="30"/>
      <c r="BW6" s="55"/>
      <c r="BX6" s="29"/>
      <c r="BY6" s="29"/>
      <c r="BZ6" s="30"/>
      <c r="CA6" s="31"/>
    </row>
    <row r="7" spans="1:79" hidden="1">
      <c r="A7" s="71" t="s">
        <v>1236</v>
      </c>
      <c r="B7" s="297"/>
      <c r="C7" s="307" t="s">
        <v>881</v>
      </c>
      <c r="D7" s="299" t="str">
        <f t="shared" si="7"/>
        <v xml:space="preserve"> 967</v>
      </c>
      <c r="E7" s="308" t="s">
        <v>881</v>
      </c>
      <c r="F7" s="301">
        <f t="shared" si="8"/>
        <v>0</v>
      </c>
      <c r="G7" s="309" t="s">
        <v>1063</v>
      </c>
      <c r="H7" s="302" t="s">
        <v>1065</v>
      </c>
      <c r="I7" s="302" t="s">
        <v>1094</v>
      </c>
      <c r="J7" s="311">
        <v>93000</v>
      </c>
      <c r="K7" s="304">
        <f t="shared" si="0"/>
        <v>6950</v>
      </c>
      <c r="L7" s="301" t="s">
        <v>69</v>
      </c>
      <c r="M7" s="305">
        <f t="shared" si="9"/>
        <v>86050</v>
      </c>
      <c r="N7" s="305">
        <f t="shared" si="10"/>
        <v>6950</v>
      </c>
      <c r="O7" s="306">
        <f t="shared" si="11"/>
        <v>93000</v>
      </c>
      <c r="P7" s="293"/>
      <c r="Q7" s="292" t="s">
        <v>1235</v>
      </c>
      <c r="R7" s="22"/>
      <c r="S7" s="22">
        <f t="shared" si="2"/>
        <v>93000</v>
      </c>
      <c r="T7" s="22">
        <f t="shared" si="3"/>
        <v>132857.14285714287</v>
      </c>
      <c r="U7" s="23">
        <f t="shared" si="4"/>
        <v>151836.73469387757</v>
      </c>
      <c r="V7" s="24">
        <f t="shared" si="5"/>
        <v>0.12500000000000006</v>
      </c>
      <c r="W7" s="23">
        <f t="shared" si="12"/>
        <v>151900</v>
      </c>
      <c r="X7" s="164">
        <f t="shared" si="6"/>
        <v>0.30000000000000004</v>
      </c>
      <c r="Y7" s="25"/>
      <c r="Z7" s="25"/>
      <c r="AA7" s="25"/>
      <c r="AB7" s="26"/>
      <c r="AC7" s="164"/>
      <c r="AD7" s="32"/>
      <c r="AE7" s="33"/>
      <c r="AF7" s="29"/>
      <c r="AG7" s="29"/>
      <c r="AH7" s="30"/>
      <c r="AI7" s="172" t="s">
        <v>608</v>
      </c>
      <c r="AJ7" s="29"/>
      <c r="AK7" s="29"/>
      <c r="AL7" s="30"/>
      <c r="AM7" s="172" t="s">
        <v>608</v>
      </c>
      <c r="AN7" s="29"/>
      <c r="AO7" s="29"/>
      <c r="AP7" s="30"/>
      <c r="AQ7" s="172" t="s">
        <v>608</v>
      </c>
      <c r="AR7" s="29"/>
      <c r="AS7" s="29"/>
      <c r="AT7" s="30"/>
      <c r="AU7" s="172" t="s">
        <v>608</v>
      </c>
      <c r="AV7" s="29"/>
      <c r="AW7" s="29"/>
      <c r="AX7" s="30"/>
      <c r="AY7" s="55"/>
      <c r="AZ7" s="29"/>
      <c r="BA7" s="29"/>
      <c r="BB7" s="30"/>
      <c r="BC7" s="172" t="s">
        <v>608</v>
      </c>
      <c r="BD7" s="29"/>
      <c r="BE7" s="29"/>
      <c r="BF7" s="30"/>
      <c r="BG7" s="55"/>
      <c r="BH7" s="29"/>
      <c r="BI7" s="29"/>
      <c r="BJ7" s="30"/>
      <c r="BK7" s="172" t="s">
        <v>608</v>
      </c>
      <c r="BL7" s="29"/>
      <c r="BM7" s="29"/>
      <c r="BN7" s="30"/>
      <c r="BO7" s="55"/>
      <c r="BP7" s="29"/>
      <c r="BQ7" s="29"/>
      <c r="BR7" s="30"/>
      <c r="BS7" s="55"/>
      <c r="BT7" s="29"/>
      <c r="BU7" s="29"/>
      <c r="BV7" s="30"/>
      <c r="BW7" s="55"/>
      <c r="BX7" s="29"/>
      <c r="BY7" s="29"/>
      <c r="BZ7" s="30"/>
      <c r="CA7" s="31"/>
    </row>
    <row r="8" spans="1:79" hidden="1">
      <c r="A8" s="71" t="s">
        <v>1236</v>
      </c>
      <c r="B8" s="297"/>
      <c r="C8" s="307" t="s">
        <v>882</v>
      </c>
      <c r="D8" s="299" t="str">
        <f t="shared" si="7"/>
        <v xml:space="preserve"> 961</v>
      </c>
      <c r="E8" s="308" t="s">
        <v>882</v>
      </c>
      <c r="F8" s="301">
        <f t="shared" si="8"/>
        <v>0</v>
      </c>
      <c r="G8" s="309" t="s">
        <v>1063</v>
      </c>
      <c r="H8" s="302" t="s">
        <v>1066</v>
      </c>
      <c r="I8" s="302" t="s">
        <v>1094</v>
      </c>
      <c r="J8" s="311">
        <v>93000</v>
      </c>
      <c r="K8" s="312">
        <f t="shared" si="0"/>
        <v>6950</v>
      </c>
      <c r="L8" s="301" t="s">
        <v>69</v>
      </c>
      <c r="M8" s="305">
        <f t="shared" si="9"/>
        <v>86050</v>
      </c>
      <c r="N8" s="305">
        <f t="shared" si="10"/>
        <v>6950</v>
      </c>
      <c r="O8" s="306">
        <f t="shared" si="11"/>
        <v>93000</v>
      </c>
      <c r="P8" s="294"/>
      <c r="Q8" s="292" t="s">
        <v>1235</v>
      </c>
      <c r="R8" s="22"/>
      <c r="S8" s="22">
        <f t="shared" si="2"/>
        <v>93000</v>
      </c>
      <c r="T8" s="22">
        <f t="shared" si="3"/>
        <v>132857.14285714287</v>
      </c>
      <c r="U8" s="23">
        <f t="shared" si="4"/>
        <v>151836.73469387757</v>
      </c>
      <c r="V8" s="24">
        <f t="shared" si="5"/>
        <v>0.12500000000000006</v>
      </c>
      <c r="W8" s="23">
        <f t="shared" si="12"/>
        <v>151900</v>
      </c>
      <c r="X8" s="164">
        <f t="shared" si="6"/>
        <v>0.30000000000000004</v>
      </c>
      <c r="Y8" s="25"/>
      <c r="Z8" s="25"/>
      <c r="AA8" s="25"/>
      <c r="AB8" s="26"/>
      <c r="AC8" s="164"/>
      <c r="AD8" s="32"/>
      <c r="AE8" s="33"/>
      <c r="AF8" s="29"/>
      <c r="AG8" s="29"/>
      <c r="AH8" s="30"/>
      <c r="AI8" s="172" t="s">
        <v>608</v>
      </c>
      <c r="AJ8" s="29"/>
      <c r="AK8" s="29"/>
      <c r="AL8" s="30"/>
      <c r="AM8" s="172" t="s">
        <v>608</v>
      </c>
      <c r="AN8" s="29"/>
      <c r="AO8" s="29"/>
      <c r="AP8" s="30"/>
      <c r="AQ8" s="172" t="s">
        <v>608</v>
      </c>
      <c r="AR8" s="29"/>
      <c r="AS8" s="29"/>
      <c r="AT8" s="30"/>
      <c r="AU8" s="172" t="s">
        <v>608</v>
      </c>
      <c r="AV8" s="29"/>
      <c r="AW8" s="29"/>
      <c r="AX8" s="30"/>
      <c r="AY8" s="55"/>
      <c r="AZ8" s="29"/>
      <c r="BA8" s="29"/>
      <c r="BB8" s="30"/>
      <c r="BC8" s="172" t="s">
        <v>608</v>
      </c>
      <c r="BD8" s="29"/>
      <c r="BE8" s="29"/>
      <c r="BF8" s="30"/>
      <c r="BG8" s="55"/>
      <c r="BH8" s="29"/>
      <c r="BI8" s="29"/>
      <c r="BJ8" s="30"/>
      <c r="BK8" s="172" t="s">
        <v>608</v>
      </c>
      <c r="BL8" s="29"/>
      <c r="BM8" s="29"/>
      <c r="BN8" s="30"/>
      <c r="BO8" s="55"/>
      <c r="BP8" s="29"/>
      <c r="BQ8" s="29"/>
      <c r="BR8" s="30"/>
      <c r="BS8" s="55"/>
      <c r="BT8" s="29"/>
      <c r="BU8" s="29"/>
      <c r="BV8" s="30"/>
      <c r="BW8" s="55"/>
      <c r="BX8" s="29"/>
      <c r="BY8" s="29"/>
      <c r="BZ8" s="30"/>
      <c r="CA8" s="31"/>
    </row>
    <row r="9" spans="1:79" hidden="1">
      <c r="A9" s="71" t="s">
        <v>1236</v>
      </c>
      <c r="B9" s="297"/>
      <c r="C9" s="307" t="s">
        <v>883</v>
      </c>
      <c r="D9" s="299" t="str">
        <f>REPLACE(C9,1,3, )</f>
        <v xml:space="preserve"> 326</v>
      </c>
      <c r="E9" s="308" t="s">
        <v>883</v>
      </c>
      <c r="F9" s="301">
        <f>IF(C9=E9,0,1)</f>
        <v>0</v>
      </c>
      <c r="G9" s="309" t="s">
        <v>1063</v>
      </c>
      <c r="H9" s="302" t="s">
        <v>178</v>
      </c>
      <c r="I9" s="302" t="s">
        <v>1094</v>
      </c>
      <c r="J9" s="303">
        <v>93000</v>
      </c>
      <c r="K9" s="312">
        <f>J9-M9</f>
        <v>6950</v>
      </c>
      <c r="L9" s="301" t="s">
        <v>69</v>
      </c>
      <c r="M9" s="305">
        <f t="shared" si="9"/>
        <v>86050</v>
      </c>
      <c r="N9" s="305">
        <f t="shared" si="10"/>
        <v>6950</v>
      </c>
      <c r="O9" s="306">
        <f>M9+N9</f>
        <v>93000</v>
      </c>
      <c r="P9" s="295"/>
      <c r="Q9" s="292" t="s">
        <v>1235</v>
      </c>
      <c r="R9" s="22"/>
      <c r="S9" s="22">
        <f>R9+O9</f>
        <v>93000</v>
      </c>
      <c r="T9" s="22">
        <f>S9/0.7</f>
        <v>132857.14285714287</v>
      </c>
      <c r="U9" s="23">
        <f>T9/0.875</f>
        <v>151836.73469387757</v>
      </c>
      <c r="V9" s="24">
        <f>(U9-T9)/U9</f>
        <v>0.12500000000000006</v>
      </c>
      <c r="W9" s="23">
        <f>(ROUNDUP((U9/100),0))*100</f>
        <v>151900</v>
      </c>
      <c r="X9" s="164">
        <f>(T9-O9)/T9</f>
        <v>0.30000000000000004</v>
      </c>
      <c r="Y9" s="25"/>
      <c r="Z9" s="25"/>
      <c r="AA9" s="25"/>
      <c r="AB9" s="26" t="s">
        <v>95</v>
      </c>
      <c r="AC9" s="164"/>
      <c r="AD9" s="35"/>
      <c r="AE9" s="36"/>
      <c r="AF9" s="29"/>
      <c r="AG9" s="29"/>
      <c r="AH9" s="30"/>
      <c r="AI9" s="172" t="s">
        <v>608</v>
      </c>
      <c r="AJ9" s="29"/>
      <c r="AK9" s="29"/>
      <c r="AL9" s="30"/>
      <c r="AM9" s="172" t="s">
        <v>608</v>
      </c>
      <c r="AN9" s="29"/>
      <c r="AO9" s="29"/>
      <c r="AP9" s="30"/>
      <c r="AQ9" s="172" t="s">
        <v>608</v>
      </c>
      <c r="AR9" s="29"/>
      <c r="AS9" s="29"/>
      <c r="AT9" s="30"/>
      <c r="AU9" s="172" t="s">
        <v>608</v>
      </c>
      <c r="AV9" s="29"/>
      <c r="AW9" s="29"/>
      <c r="AX9" s="30"/>
      <c r="AY9" s="55"/>
      <c r="AZ9" s="29"/>
      <c r="BA9" s="29"/>
      <c r="BB9" s="30"/>
      <c r="BC9" s="172" t="s">
        <v>751</v>
      </c>
      <c r="BD9" s="29"/>
      <c r="BE9" s="29"/>
      <c r="BF9" s="30"/>
      <c r="BG9" s="55"/>
      <c r="BH9" s="29"/>
      <c r="BI9" s="29"/>
      <c r="BJ9" s="30"/>
      <c r="BK9" s="55"/>
      <c r="BL9" s="29"/>
      <c r="BM9" s="29"/>
      <c r="BN9" s="30"/>
      <c r="BO9" s="55"/>
      <c r="BP9" s="29"/>
      <c r="BQ9" s="29"/>
      <c r="BR9" s="30"/>
      <c r="BS9" s="55"/>
      <c r="BT9" s="29"/>
      <c r="BU9" s="29"/>
      <c r="BV9" s="30"/>
      <c r="BW9" s="31"/>
    </row>
    <row r="10" spans="1:79" hidden="1">
      <c r="A10" s="71" t="s">
        <v>1236</v>
      </c>
      <c r="B10" s="297"/>
      <c r="C10" s="307" t="s">
        <v>503</v>
      </c>
      <c r="D10" s="299" t="str">
        <f t="shared" si="7"/>
        <v xml:space="preserve"> 974</v>
      </c>
      <c r="E10" s="308" t="s">
        <v>503</v>
      </c>
      <c r="F10" s="301">
        <f t="shared" si="8"/>
        <v>0</v>
      </c>
      <c r="G10" s="309" t="s">
        <v>35</v>
      </c>
      <c r="H10" s="302" t="s">
        <v>1067</v>
      </c>
      <c r="I10" s="302" t="s">
        <v>1095</v>
      </c>
      <c r="J10" s="303">
        <v>71000</v>
      </c>
      <c r="K10" s="312">
        <f t="shared" si="0"/>
        <v>3900</v>
      </c>
      <c r="L10" s="301" t="s">
        <v>69</v>
      </c>
      <c r="M10" s="305">
        <f t="shared" si="9"/>
        <v>67100</v>
      </c>
      <c r="N10" s="305">
        <f>2000+200+350+600+750</f>
        <v>3900</v>
      </c>
      <c r="O10" s="306">
        <f t="shared" si="11"/>
        <v>71000</v>
      </c>
      <c r="P10" s="294"/>
      <c r="Q10" s="292" t="s">
        <v>1137</v>
      </c>
      <c r="R10" s="22"/>
      <c r="S10" s="22">
        <f t="shared" si="2"/>
        <v>71000</v>
      </c>
      <c r="T10" s="22">
        <f t="shared" si="3"/>
        <v>101428.57142857143</v>
      </c>
      <c r="U10" s="23">
        <f t="shared" si="4"/>
        <v>115918.36734693879</v>
      </c>
      <c r="V10" s="24">
        <f t="shared" si="5"/>
        <v>0.12500000000000003</v>
      </c>
      <c r="W10" s="23">
        <f t="shared" si="12"/>
        <v>116000</v>
      </c>
      <c r="X10" s="164">
        <f t="shared" si="6"/>
        <v>0.30000000000000004</v>
      </c>
      <c r="Y10" s="25"/>
      <c r="Z10" s="25"/>
      <c r="AA10" s="25"/>
      <c r="AB10" s="34"/>
      <c r="AC10" s="164"/>
      <c r="AD10" s="35"/>
      <c r="AE10" s="36"/>
      <c r="AF10" s="29"/>
      <c r="AG10" s="29"/>
      <c r="AH10" s="30"/>
      <c r="AI10" s="172" t="s">
        <v>608</v>
      </c>
      <c r="AJ10" s="29"/>
      <c r="AK10" s="29"/>
      <c r="AL10" s="30"/>
      <c r="AM10" s="172" t="s">
        <v>608</v>
      </c>
      <c r="AN10" s="29"/>
      <c r="AO10" s="29"/>
      <c r="AP10" s="30"/>
      <c r="AQ10" s="172" t="s">
        <v>608</v>
      </c>
      <c r="AR10" s="29"/>
      <c r="AS10" s="29"/>
      <c r="AT10" s="30"/>
      <c r="AU10" s="172" t="s">
        <v>608</v>
      </c>
      <c r="AV10" s="29"/>
      <c r="AW10" s="29"/>
      <c r="AX10" s="30"/>
      <c r="AY10" s="55"/>
      <c r="AZ10" s="29"/>
      <c r="BA10" s="29"/>
      <c r="BB10" s="30"/>
      <c r="BC10" s="172" t="s">
        <v>608</v>
      </c>
      <c r="BD10" s="29"/>
      <c r="BE10" s="29"/>
      <c r="BF10" s="30"/>
      <c r="BG10" s="55"/>
      <c r="BH10" s="29"/>
      <c r="BI10" s="29"/>
      <c r="BJ10" s="30"/>
      <c r="BK10" s="172" t="s">
        <v>608</v>
      </c>
      <c r="BL10" s="29"/>
      <c r="BM10" s="29"/>
      <c r="BN10" s="30"/>
      <c r="BO10" s="55"/>
      <c r="BP10" s="29"/>
      <c r="BQ10" s="29"/>
      <c r="BR10" s="30"/>
      <c r="BS10" s="55"/>
      <c r="BT10" s="29"/>
      <c r="BU10" s="29"/>
      <c r="BV10" s="30"/>
      <c r="BW10" s="55"/>
      <c r="BX10" s="29"/>
      <c r="BY10" s="29"/>
      <c r="BZ10" s="30"/>
      <c r="CA10" s="31"/>
    </row>
    <row r="11" spans="1:79" hidden="1">
      <c r="A11" s="71" t="s">
        <v>1236</v>
      </c>
      <c r="B11" s="297"/>
      <c r="C11" s="307" t="s">
        <v>884</v>
      </c>
      <c r="D11" s="299" t="str">
        <f t="shared" si="7"/>
        <v xml:space="preserve"> 253</v>
      </c>
      <c r="E11" s="308" t="s">
        <v>884</v>
      </c>
      <c r="F11" s="301">
        <f t="shared" si="8"/>
        <v>0</v>
      </c>
      <c r="G11" s="309" t="s">
        <v>1063</v>
      </c>
      <c r="H11" s="302" t="s">
        <v>1068</v>
      </c>
      <c r="I11" s="302" t="s">
        <v>1095</v>
      </c>
      <c r="J11" s="303">
        <v>60000</v>
      </c>
      <c r="K11" s="304">
        <f t="shared" si="0"/>
        <v>3900</v>
      </c>
      <c r="L11" s="301" t="s">
        <v>69</v>
      </c>
      <c r="M11" s="305">
        <f t="shared" si="9"/>
        <v>56100</v>
      </c>
      <c r="N11" s="305">
        <f t="shared" ref="N11:N12" si="13">2000+200+350+600+750</f>
        <v>3900</v>
      </c>
      <c r="O11" s="306">
        <f t="shared" si="11"/>
        <v>60000</v>
      </c>
      <c r="P11" s="293"/>
      <c r="Q11" s="292" t="s">
        <v>1137</v>
      </c>
      <c r="R11" s="22"/>
      <c r="S11" s="22">
        <f t="shared" si="2"/>
        <v>60000</v>
      </c>
      <c r="T11" s="22">
        <f t="shared" si="3"/>
        <v>85714.285714285725</v>
      </c>
      <c r="U11" s="23">
        <f t="shared" si="4"/>
        <v>97959.183673469393</v>
      </c>
      <c r="V11" s="24">
        <f t="shared" si="5"/>
        <v>0.12499999999999994</v>
      </c>
      <c r="W11" s="23">
        <f t="shared" si="12"/>
        <v>98000</v>
      </c>
      <c r="X11" s="164">
        <f t="shared" si="6"/>
        <v>0.3000000000000001</v>
      </c>
      <c r="Y11" s="25"/>
      <c r="Z11" s="25"/>
      <c r="AA11" s="37"/>
      <c r="AB11" s="34"/>
      <c r="AC11" s="164"/>
      <c r="AD11" s="35"/>
      <c r="AE11" s="36"/>
      <c r="AF11" s="29"/>
      <c r="AG11" s="29"/>
      <c r="AH11" s="30"/>
      <c r="AI11" s="172" t="s">
        <v>608</v>
      </c>
      <c r="AJ11" s="29"/>
      <c r="AK11" s="29"/>
      <c r="AL11" s="30"/>
      <c r="AM11" s="172" t="s">
        <v>608</v>
      </c>
      <c r="AN11" s="29"/>
      <c r="AO11" s="29"/>
      <c r="AP11" s="30"/>
      <c r="AQ11" s="172" t="s">
        <v>608</v>
      </c>
      <c r="AR11" s="29"/>
      <c r="AS11" s="29"/>
      <c r="AT11" s="30"/>
      <c r="AU11" s="172" t="s">
        <v>608</v>
      </c>
      <c r="AV11" s="29"/>
      <c r="AW11" s="29"/>
      <c r="AX11" s="30"/>
      <c r="AY11" s="55"/>
      <c r="AZ11" s="29"/>
      <c r="BA11" s="29"/>
      <c r="BB11" s="30"/>
      <c r="BC11" s="172" t="s">
        <v>751</v>
      </c>
      <c r="BD11" s="29"/>
      <c r="BE11" s="29"/>
      <c r="BF11" s="30"/>
      <c r="BG11" s="55"/>
      <c r="BH11" s="29"/>
      <c r="BI11" s="29"/>
      <c r="BJ11" s="30"/>
      <c r="BK11" s="55"/>
      <c r="BL11" s="29"/>
      <c r="BM11" s="29"/>
      <c r="BN11" s="30"/>
      <c r="BO11" s="55"/>
      <c r="BP11" s="29"/>
      <c r="BQ11" s="29"/>
      <c r="BR11" s="30"/>
      <c r="BS11" s="55"/>
      <c r="BT11" s="29"/>
      <c r="BU11" s="29"/>
      <c r="BV11" s="30"/>
      <c r="BW11" s="55"/>
      <c r="BX11" s="29"/>
      <c r="BY11" s="29"/>
      <c r="BZ11" s="30"/>
      <c r="CA11" s="31"/>
    </row>
    <row r="12" spans="1:79" hidden="1">
      <c r="A12" s="71" t="s">
        <v>1236</v>
      </c>
      <c r="B12" s="297"/>
      <c r="C12" s="307" t="s">
        <v>885</v>
      </c>
      <c r="D12" s="299" t="str">
        <f t="shared" si="7"/>
        <v xml:space="preserve"> 191</v>
      </c>
      <c r="E12" s="308" t="s">
        <v>885</v>
      </c>
      <c r="F12" s="301">
        <f t="shared" si="8"/>
        <v>0</v>
      </c>
      <c r="G12" s="309" t="s">
        <v>1063</v>
      </c>
      <c r="H12" s="302" t="s">
        <v>1068</v>
      </c>
      <c r="I12" s="302" t="s">
        <v>1095</v>
      </c>
      <c r="J12" s="303">
        <v>60000</v>
      </c>
      <c r="K12" s="312">
        <f t="shared" si="0"/>
        <v>3900</v>
      </c>
      <c r="L12" s="301" t="s">
        <v>69</v>
      </c>
      <c r="M12" s="305">
        <f t="shared" si="9"/>
        <v>56100</v>
      </c>
      <c r="N12" s="305">
        <f t="shared" si="13"/>
        <v>3900</v>
      </c>
      <c r="O12" s="306">
        <f t="shared" si="11"/>
        <v>60000</v>
      </c>
      <c r="P12" s="294"/>
      <c r="Q12" s="292" t="s">
        <v>1137</v>
      </c>
      <c r="R12" s="22"/>
      <c r="S12" s="22">
        <f t="shared" si="2"/>
        <v>60000</v>
      </c>
      <c r="T12" s="22">
        <f t="shared" si="3"/>
        <v>85714.285714285725</v>
      </c>
      <c r="U12" s="23">
        <f t="shared" si="4"/>
        <v>97959.183673469393</v>
      </c>
      <c r="V12" s="24">
        <f t="shared" si="5"/>
        <v>0.12499999999999994</v>
      </c>
      <c r="W12" s="23">
        <f t="shared" si="12"/>
        <v>98000</v>
      </c>
      <c r="X12" s="164">
        <f t="shared" si="6"/>
        <v>0.3000000000000001</v>
      </c>
      <c r="Y12" s="25"/>
      <c r="Z12" s="25"/>
      <c r="AA12" s="37"/>
      <c r="AB12" s="34"/>
      <c r="AC12" s="164"/>
      <c r="AD12" s="35"/>
      <c r="AE12" s="36"/>
      <c r="AF12" s="29"/>
      <c r="AG12" s="29"/>
      <c r="AH12" s="30"/>
      <c r="AI12" s="172" t="s">
        <v>608</v>
      </c>
      <c r="AJ12" s="29"/>
      <c r="AK12" s="29"/>
      <c r="AL12" s="30"/>
      <c r="AM12" s="172" t="s">
        <v>608</v>
      </c>
      <c r="AN12" s="29"/>
      <c r="AO12" s="29"/>
      <c r="AP12" s="30"/>
      <c r="AQ12" s="172" t="s">
        <v>608</v>
      </c>
      <c r="AR12" s="29"/>
      <c r="AS12" s="29"/>
      <c r="AT12" s="30"/>
      <c r="AU12" s="172" t="s">
        <v>608</v>
      </c>
      <c r="AV12" s="29"/>
      <c r="AW12" s="29"/>
      <c r="AX12" s="30"/>
      <c r="AY12" s="55"/>
      <c r="AZ12" s="29"/>
      <c r="BA12" s="29"/>
      <c r="BB12" s="30"/>
      <c r="BC12" s="172" t="s">
        <v>751</v>
      </c>
      <c r="BD12" s="29"/>
      <c r="BE12" s="29"/>
      <c r="BF12" s="30"/>
      <c r="BG12" s="55"/>
      <c r="BH12" s="29"/>
      <c r="BI12" s="29"/>
      <c r="BJ12" s="30"/>
      <c r="BK12" s="172" t="s">
        <v>751</v>
      </c>
      <c r="BL12" s="29"/>
      <c r="BM12" s="29"/>
      <c r="BN12" s="30"/>
      <c r="BO12" s="55"/>
      <c r="BP12" s="38">
        <v>116688</v>
      </c>
      <c r="BQ12" s="29"/>
      <c r="BR12" s="21">
        <f>(BO12-BP12)/BP12</f>
        <v>-1</v>
      </c>
      <c r="BS12" s="55"/>
      <c r="BT12" s="29"/>
      <c r="BU12" s="29"/>
      <c r="BV12" s="30"/>
      <c r="BW12" s="55"/>
      <c r="BX12" s="29"/>
      <c r="BY12" s="29"/>
      <c r="BZ12" s="30"/>
      <c r="CA12" s="31"/>
    </row>
    <row r="13" spans="1:79" hidden="1">
      <c r="A13" s="71" t="s">
        <v>1236</v>
      </c>
      <c r="B13" s="297"/>
      <c r="C13" s="307" t="s">
        <v>886</v>
      </c>
      <c r="D13" s="299" t="str">
        <f t="shared" si="7"/>
        <v xml:space="preserve"> 379</v>
      </c>
      <c r="E13" s="308" t="s">
        <v>886</v>
      </c>
      <c r="F13" s="301">
        <f t="shared" si="8"/>
        <v>0</v>
      </c>
      <c r="G13" s="309" t="s">
        <v>1063</v>
      </c>
      <c r="H13" s="302" t="s">
        <v>1069</v>
      </c>
      <c r="I13" s="302" t="s">
        <v>1095</v>
      </c>
      <c r="J13" s="303">
        <v>103000</v>
      </c>
      <c r="K13" s="312">
        <f t="shared" si="0"/>
        <v>6800</v>
      </c>
      <c r="L13" s="301" t="s">
        <v>69</v>
      </c>
      <c r="M13" s="305">
        <f t="shared" si="9"/>
        <v>96200</v>
      </c>
      <c r="N13" s="305">
        <f>2000+200+350+600+650+3000</f>
        <v>6800</v>
      </c>
      <c r="O13" s="306">
        <f t="shared" si="11"/>
        <v>103000</v>
      </c>
      <c r="P13" s="294"/>
      <c r="Q13" s="292" t="s">
        <v>1138</v>
      </c>
      <c r="R13" s="22"/>
      <c r="S13" s="22">
        <f t="shared" si="2"/>
        <v>103000</v>
      </c>
      <c r="T13" s="22">
        <f t="shared" si="3"/>
        <v>147142.85714285716</v>
      </c>
      <c r="U13" s="23">
        <f t="shared" si="4"/>
        <v>168163.26530612246</v>
      </c>
      <c r="V13" s="24">
        <f t="shared" si="5"/>
        <v>0.12499999999999993</v>
      </c>
      <c r="W13" s="23">
        <f t="shared" si="12"/>
        <v>168200</v>
      </c>
      <c r="X13" s="164">
        <f t="shared" si="6"/>
        <v>0.3000000000000001</v>
      </c>
      <c r="Y13" s="253">
        <v>78071.42857142858</v>
      </c>
      <c r="Z13" s="188">
        <f>T13-Y13</f>
        <v>69071.42857142858</v>
      </c>
      <c r="AA13" s="189">
        <f>Z13/Y13</f>
        <v>0.88472095150960661</v>
      </c>
      <c r="AB13" s="34"/>
      <c r="AC13" s="164"/>
      <c r="AD13" s="35"/>
      <c r="AE13" s="36"/>
      <c r="AF13" s="29"/>
      <c r="AG13" s="29"/>
      <c r="AH13" s="30"/>
      <c r="AI13" s="172" t="s">
        <v>608</v>
      </c>
      <c r="AJ13" s="29"/>
      <c r="AK13" s="29"/>
      <c r="AL13" s="30"/>
      <c r="AM13" s="172" t="s">
        <v>608</v>
      </c>
      <c r="AN13" s="29"/>
      <c r="AO13" s="29"/>
      <c r="AP13" s="30"/>
      <c r="AQ13" s="172" t="s">
        <v>608</v>
      </c>
      <c r="AR13" s="29"/>
      <c r="AS13" s="29"/>
      <c r="AT13" s="30"/>
      <c r="AU13" s="172" t="s">
        <v>608</v>
      </c>
      <c r="AV13" s="29"/>
      <c r="AW13" s="29"/>
      <c r="AX13" s="30"/>
      <c r="AY13" s="55"/>
      <c r="AZ13" s="29"/>
      <c r="BA13" s="29"/>
      <c r="BB13" s="30"/>
      <c r="BC13" s="172" t="s">
        <v>608</v>
      </c>
      <c r="BD13" s="29"/>
      <c r="BE13" s="29"/>
      <c r="BF13" s="30"/>
      <c r="BG13" s="55"/>
      <c r="BH13" s="29"/>
      <c r="BI13" s="29"/>
      <c r="BJ13" s="30"/>
      <c r="BK13" s="172" t="s">
        <v>608</v>
      </c>
      <c r="BL13" s="29"/>
      <c r="BM13" s="29"/>
      <c r="BN13" s="30"/>
      <c r="BO13" s="55"/>
      <c r="BP13" s="30"/>
      <c r="BQ13" s="30"/>
      <c r="BR13" s="30"/>
      <c r="BS13" s="55"/>
      <c r="BT13" s="30"/>
      <c r="BU13" s="30"/>
      <c r="BV13" s="30"/>
      <c r="BW13" s="55"/>
      <c r="BX13" s="30"/>
      <c r="BY13" s="30"/>
      <c r="BZ13" s="30"/>
      <c r="CA13" s="30"/>
    </row>
    <row r="14" spans="1:79" hidden="1">
      <c r="A14" s="71" t="s">
        <v>1236</v>
      </c>
      <c r="B14" s="297"/>
      <c r="C14" s="307" t="s">
        <v>887</v>
      </c>
      <c r="D14" s="299" t="str">
        <f t="shared" si="7"/>
        <v xml:space="preserve"> 478</v>
      </c>
      <c r="E14" s="308" t="s">
        <v>887</v>
      </c>
      <c r="F14" s="301">
        <f t="shared" si="8"/>
        <v>0</v>
      </c>
      <c r="G14" s="302" t="s">
        <v>1063</v>
      </c>
      <c r="H14" s="302" t="s">
        <v>234</v>
      </c>
      <c r="I14" s="302" t="s">
        <v>1096</v>
      </c>
      <c r="J14" s="303">
        <v>77000</v>
      </c>
      <c r="K14" s="312">
        <f t="shared" si="0"/>
        <v>6800</v>
      </c>
      <c r="L14" s="301" t="s">
        <v>69</v>
      </c>
      <c r="M14" s="305">
        <f t="shared" si="9"/>
        <v>70200</v>
      </c>
      <c r="N14" s="305">
        <f>2000+200+350+600+650+3000</f>
        <v>6800</v>
      </c>
      <c r="O14" s="306">
        <f t="shared" si="11"/>
        <v>77000</v>
      </c>
      <c r="P14" s="294"/>
      <c r="Q14" s="292" t="s">
        <v>1138</v>
      </c>
      <c r="R14" s="22"/>
      <c r="S14" s="22">
        <f t="shared" si="2"/>
        <v>77000</v>
      </c>
      <c r="T14" s="22">
        <f t="shared" si="3"/>
        <v>110000</v>
      </c>
      <c r="U14" s="23">
        <f t="shared" si="4"/>
        <v>125714.28571428571</v>
      </c>
      <c r="V14" s="24">
        <f t="shared" si="5"/>
        <v>0.12499999999999997</v>
      </c>
      <c r="W14" s="23">
        <f t="shared" si="12"/>
        <v>125800</v>
      </c>
      <c r="X14" s="164">
        <f t="shared" si="6"/>
        <v>0.3</v>
      </c>
      <c r="Y14" s="25"/>
      <c r="Z14" s="25"/>
      <c r="AA14" s="25"/>
      <c r="AB14" s="34"/>
      <c r="AC14" s="164"/>
      <c r="AD14" s="35"/>
      <c r="AE14" s="36"/>
      <c r="AF14" s="29"/>
      <c r="AG14" s="29"/>
      <c r="AH14" s="30"/>
      <c r="AI14" s="55"/>
      <c r="AJ14" s="29"/>
      <c r="AK14" s="29"/>
      <c r="AL14" s="30"/>
      <c r="AM14" s="55"/>
      <c r="AN14" s="29"/>
      <c r="AO14" s="29"/>
      <c r="AP14" s="30"/>
      <c r="AQ14" s="172" t="s">
        <v>608</v>
      </c>
      <c r="AR14" s="29"/>
      <c r="AS14" s="29"/>
      <c r="AT14" s="30"/>
      <c r="AU14" s="172" t="s">
        <v>608</v>
      </c>
      <c r="AV14" s="29"/>
      <c r="AW14" s="29"/>
      <c r="AX14" s="30"/>
      <c r="AY14" s="55"/>
      <c r="AZ14" s="29"/>
      <c r="BA14" s="29"/>
      <c r="BB14" s="30"/>
      <c r="BC14" s="172" t="s">
        <v>751</v>
      </c>
      <c r="BD14" s="29"/>
      <c r="BE14" s="29"/>
      <c r="BF14" s="30"/>
      <c r="BG14" s="55"/>
      <c r="BH14" s="29"/>
      <c r="BI14" s="29"/>
      <c r="BJ14" s="30"/>
      <c r="BK14" s="55"/>
      <c r="BL14" s="29"/>
      <c r="BM14" s="29"/>
      <c r="BN14" s="30"/>
      <c r="BO14" s="55"/>
      <c r="BP14" s="29"/>
      <c r="BQ14" s="29"/>
      <c r="BR14" s="30"/>
      <c r="BS14" s="55"/>
      <c r="BT14" s="29"/>
      <c r="BU14" s="29"/>
      <c r="BV14" s="30"/>
      <c r="BW14" s="55"/>
      <c r="BX14" s="29"/>
      <c r="BY14" s="29"/>
      <c r="BZ14" s="30"/>
      <c r="CA14" s="31"/>
    </row>
    <row r="15" spans="1:79" hidden="1">
      <c r="A15" s="71" t="s">
        <v>1236</v>
      </c>
      <c r="B15" s="297"/>
      <c r="C15" s="307" t="s">
        <v>888</v>
      </c>
      <c r="D15" s="299" t="str">
        <f t="shared" si="7"/>
        <v xml:space="preserve"> 358</v>
      </c>
      <c r="E15" s="308" t="s">
        <v>888</v>
      </c>
      <c r="F15" s="301">
        <f t="shared" si="8"/>
        <v>0</v>
      </c>
      <c r="G15" s="302" t="s">
        <v>1063</v>
      </c>
      <c r="H15" s="302" t="s">
        <v>1070</v>
      </c>
      <c r="I15" s="302" t="s">
        <v>1096</v>
      </c>
      <c r="J15" s="303">
        <v>88000</v>
      </c>
      <c r="K15" s="312">
        <f t="shared" si="0"/>
        <v>3900</v>
      </c>
      <c r="L15" s="301" t="s">
        <v>69</v>
      </c>
      <c r="M15" s="305">
        <f t="shared" si="9"/>
        <v>84100</v>
      </c>
      <c r="N15" s="305">
        <f>2000+200+350+600+750</f>
        <v>3900</v>
      </c>
      <c r="O15" s="306">
        <f t="shared" si="11"/>
        <v>88000</v>
      </c>
      <c r="P15" s="294"/>
      <c r="Q15" s="292" t="s">
        <v>1139</v>
      </c>
      <c r="R15" s="22"/>
      <c r="S15" s="22">
        <f t="shared" si="2"/>
        <v>88000</v>
      </c>
      <c r="T15" s="22">
        <f t="shared" si="3"/>
        <v>125714.28571428572</v>
      </c>
      <c r="U15" s="23">
        <f t="shared" si="4"/>
        <v>143673.46938775512</v>
      </c>
      <c r="V15" s="24">
        <f t="shared" si="5"/>
        <v>0.12500000000000003</v>
      </c>
      <c r="W15" s="23">
        <f t="shared" si="12"/>
        <v>143700</v>
      </c>
      <c r="X15" s="164">
        <f t="shared" si="6"/>
        <v>0.30000000000000004</v>
      </c>
      <c r="Y15" s="25"/>
      <c r="Z15" s="25"/>
      <c r="AA15" s="25"/>
      <c r="AB15" s="34"/>
      <c r="AC15" s="164"/>
      <c r="AD15" s="35"/>
      <c r="AE15" s="36"/>
      <c r="AF15" s="29"/>
      <c r="AG15" s="29"/>
      <c r="AH15" s="30"/>
      <c r="AI15" s="172" t="s">
        <v>608</v>
      </c>
      <c r="AJ15" s="29"/>
      <c r="AK15" s="29"/>
      <c r="AL15" s="30"/>
      <c r="AM15" s="172" t="s">
        <v>608</v>
      </c>
      <c r="AN15" s="29"/>
      <c r="AO15" s="29"/>
      <c r="AP15" s="30"/>
      <c r="AQ15" s="172" t="s">
        <v>608</v>
      </c>
      <c r="AR15" s="29"/>
      <c r="AS15" s="29"/>
      <c r="AT15" s="30"/>
      <c r="AU15" s="172" t="s">
        <v>608</v>
      </c>
      <c r="AV15" s="29"/>
      <c r="AW15" s="29"/>
      <c r="AX15" s="30"/>
      <c r="AY15" s="55"/>
      <c r="AZ15" s="29"/>
      <c r="BA15" s="29"/>
      <c r="BB15" s="30"/>
      <c r="BC15" s="172" t="s">
        <v>608</v>
      </c>
      <c r="BD15" s="29"/>
      <c r="BE15" s="29"/>
      <c r="BF15" s="30"/>
      <c r="BG15" s="55"/>
      <c r="BH15" s="29"/>
      <c r="BI15" s="29"/>
      <c r="BJ15" s="30"/>
      <c r="BK15" s="172" t="s">
        <v>608</v>
      </c>
      <c r="BL15" s="29"/>
      <c r="BM15" s="29"/>
      <c r="BN15" s="30"/>
      <c r="BO15" s="55"/>
      <c r="BP15" s="29"/>
      <c r="BQ15" s="29"/>
      <c r="BR15" s="30"/>
      <c r="BS15" s="55"/>
      <c r="BT15" s="29"/>
      <c r="BU15" s="29"/>
      <c r="BV15" s="30"/>
      <c r="BW15" s="55"/>
      <c r="BX15" s="29"/>
      <c r="BY15" s="29"/>
      <c r="BZ15" s="30"/>
      <c r="CA15" s="31"/>
    </row>
    <row r="16" spans="1:79" hidden="1">
      <c r="A16" s="71" t="s">
        <v>1236</v>
      </c>
      <c r="B16" s="297"/>
      <c r="C16" s="307" t="s">
        <v>889</v>
      </c>
      <c r="D16" s="299" t="str">
        <f t="shared" si="7"/>
        <v xml:space="preserve"> 892</v>
      </c>
      <c r="E16" s="308" t="s">
        <v>889</v>
      </c>
      <c r="F16" s="301">
        <f t="shared" si="8"/>
        <v>0</v>
      </c>
      <c r="G16" s="302" t="s">
        <v>1063</v>
      </c>
      <c r="H16" s="302" t="s">
        <v>234</v>
      </c>
      <c r="I16" s="302" t="s">
        <v>1096</v>
      </c>
      <c r="J16" s="303">
        <v>76500</v>
      </c>
      <c r="K16" s="312">
        <f t="shared" si="0"/>
        <v>6450</v>
      </c>
      <c r="L16" s="301" t="s">
        <v>69</v>
      </c>
      <c r="M16" s="305">
        <f t="shared" si="9"/>
        <v>70050</v>
      </c>
      <c r="N16" s="305">
        <f>2000+200+350+600+300+3000</f>
        <v>6450</v>
      </c>
      <c r="O16" s="306">
        <f t="shared" si="11"/>
        <v>76500</v>
      </c>
      <c r="P16" s="295"/>
      <c r="Q16" s="292" t="s">
        <v>1140</v>
      </c>
      <c r="R16" s="22"/>
      <c r="S16" s="22">
        <f t="shared" si="2"/>
        <v>76500</v>
      </c>
      <c r="T16" s="22">
        <f t="shared" si="3"/>
        <v>109285.71428571429</v>
      </c>
      <c r="U16" s="23">
        <f t="shared" si="4"/>
        <v>124897.95918367348</v>
      </c>
      <c r="V16" s="24">
        <f t="shared" si="5"/>
        <v>0.12500000000000003</v>
      </c>
      <c r="W16" s="23">
        <f t="shared" si="12"/>
        <v>124900</v>
      </c>
      <c r="X16" s="164">
        <f t="shared" si="6"/>
        <v>0.30000000000000004</v>
      </c>
      <c r="Y16" s="253">
        <v>95714</v>
      </c>
      <c r="Z16" s="188">
        <f>T16-Y16</f>
        <v>13571.71428571429</v>
      </c>
      <c r="AA16" s="189">
        <f>Z16/Y16</f>
        <v>0.14179445311777056</v>
      </c>
      <c r="AB16" s="26"/>
      <c r="AC16" s="164"/>
      <c r="AD16" s="35"/>
      <c r="AE16" s="36"/>
      <c r="AF16" s="29"/>
      <c r="AG16" s="29"/>
      <c r="AH16" s="30"/>
      <c r="AI16" s="55"/>
      <c r="AJ16" s="29"/>
      <c r="AK16" s="29"/>
      <c r="AL16" s="30"/>
      <c r="AM16" s="55"/>
      <c r="AN16" s="29"/>
      <c r="AO16" s="29"/>
      <c r="AP16" s="30"/>
      <c r="AQ16" s="172" t="s">
        <v>608</v>
      </c>
      <c r="AR16" s="29"/>
      <c r="AS16" s="29"/>
      <c r="AT16" s="30"/>
      <c r="AU16" s="172" t="s">
        <v>608</v>
      </c>
      <c r="AV16" s="29"/>
      <c r="AW16" s="29"/>
      <c r="AX16" s="30"/>
      <c r="AY16" s="55"/>
      <c r="AZ16" s="29"/>
      <c r="BA16" s="29"/>
      <c r="BB16" s="30"/>
      <c r="BC16" s="172" t="s">
        <v>751</v>
      </c>
      <c r="BD16" s="29"/>
      <c r="BE16" s="29"/>
      <c r="BF16" s="30"/>
      <c r="BG16" s="55"/>
      <c r="BH16" s="29"/>
      <c r="BI16" s="29"/>
      <c r="BJ16" s="30"/>
      <c r="BK16" s="55"/>
      <c r="BL16" s="29"/>
      <c r="BM16" s="29"/>
      <c r="BN16" s="30"/>
      <c r="BO16" s="55"/>
      <c r="BP16" s="29"/>
      <c r="BQ16" s="29"/>
      <c r="BR16" s="30"/>
      <c r="BS16" s="55"/>
      <c r="BT16" s="29"/>
      <c r="BU16" s="29"/>
      <c r="BV16" s="30"/>
      <c r="BW16" s="55"/>
      <c r="BX16" s="29"/>
      <c r="BY16" s="29"/>
      <c r="BZ16" s="30"/>
      <c r="CA16" s="31"/>
    </row>
    <row r="17" spans="1:79" hidden="1">
      <c r="A17" s="71" t="s">
        <v>1236</v>
      </c>
      <c r="B17" s="297"/>
      <c r="C17" s="307" t="s">
        <v>890</v>
      </c>
      <c r="D17" s="299" t="str">
        <f t="shared" si="7"/>
        <v xml:space="preserve"> 947</v>
      </c>
      <c r="E17" s="308" t="s">
        <v>890</v>
      </c>
      <c r="F17" s="301">
        <f t="shared" si="8"/>
        <v>0</v>
      </c>
      <c r="G17" s="302" t="s">
        <v>1063</v>
      </c>
      <c r="H17" s="302" t="s">
        <v>234</v>
      </c>
      <c r="I17" s="302" t="s">
        <v>1096</v>
      </c>
      <c r="J17" s="303">
        <v>77000</v>
      </c>
      <c r="K17" s="312">
        <f t="shared" si="0"/>
        <v>6800</v>
      </c>
      <c r="L17" s="301" t="s">
        <v>69</v>
      </c>
      <c r="M17" s="305">
        <f t="shared" si="9"/>
        <v>70200</v>
      </c>
      <c r="N17" s="305">
        <f>2000+200+350+600+650+3000</f>
        <v>6800</v>
      </c>
      <c r="O17" s="306">
        <f t="shared" si="11"/>
        <v>77000</v>
      </c>
      <c r="P17" s="294"/>
      <c r="Q17" s="292" t="s">
        <v>1138</v>
      </c>
      <c r="R17" s="22"/>
      <c r="S17" s="22">
        <f t="shared" si="2"/>
        <v>77000</v>
      </c>
      <c r="T17" s="22">
        <f t="shared" si="3"/>
        <v>110000</v>
      </c>
      <c r="U17" s="23">
        <f t="shared" si="4"/>
        <v>125714.28571428571</v>
      </c>
      <c r="V17" s="24">
        <f t="shared" si="5"/>
        <v>0.12499999999999997</v>
      </c>
      <c r="W17" s="23">
        <f t="shared" si="12"/>
        <v>125800</v>
      </c>
      <c r="X17" s="164">
        <f t="shared" si="6"/>
        <v>0.3</v>
      </c>
      <c r="Y17" s="25"/>
      <c r="Z17" s="25"/>
      <c r="AA17" s="25"/>
      <c r="AB17" s="34"/>
      <c r="AC17" s="164"/>
      <c r="AD17" s="35"/>
      <c r="AE17" s="36"/>
      <c r="AF17" s="29"/>
      <c r="AG17" s="29"/>
      <c r="AH17" s="30"/>
      <c r="AI17" s="55"/>
      <c r="AJ17" s="29"/>
      <c r="AK17" s="29"/>
      <c r="AL17" s="30"/>
      <c r="AM17" s="55"/>
      <c r="AN17" s="29"/>
      <c r="AO17" s="29"/>
      <c r="AP17" s="30"/>
      <c r="AQ17" s="172" t="s">
        <v>608</v>
      </c>
      <c r="AR17" s="29"/>
      <c r="AS17" s="29"/>
      <c r="AT17" s="30"/>
      <c r="AU17" s="172" t="s">
        <v>608</v>
      </c>
      <c r="AV17" s="29"/>
      <c r="AW17" s="29"/>
      <c r="AX17" s="30"/>
      <c r="AY17" s="55"/>
      <c r="AZ17" s="29"/>
      <c r="BA17" s="29"/>
      <c r="BB17" s="30"/>
      <c r="BC17" s="172" t="s">
        <v>751</v>
      </c>
      <c r="BD17" s="29"/>
      <c r="BE17" s="29"/>
      <c r="BF17" s="30"/>
      <c r="BG17" s="55"/>
      <c r="BH17" s="29"/>
      <c r="BI17" s="29"/>
      <c r="BJ17" s="30"/>
      <c r="BK17" s="55"/>
      <c r="BL17" s="29"/>
      <c r="BM17" s="29"/>
      <c r="BN17" s="30"/>
      <c r="BO17" s="55"/>
      <c r="BP17" s="29"/>
      <c r="BQ17" s="29"/>
      <c r="BR17" s="30"/>
      <c r="BS17" s="55"/>
      <c r="BT17" s="29"/>
      <c r="BU17" s="29"/>
      <c r="BV17" s="30"/>
      <c r="BW17" s="55"/>
      <c r="BX17" s="29"/>
      <c r="BY17" s="29"/>
      <c r="BZ17" s="30"/>
      <c r="CA17" s="31"/>
    </row>
    <row r="18" spans="1:79" hidden="1">
      <c r="A18" s="71" t="s">
        <v>1236</v>
      </c>
      <c r="B18" s="297"/>
      <c r="C18" s="307" t="s">
        <v>891</v>
      </c>
      <c r="D18" s="299" t="str">
        <f t="shared" si="7"/>
        <v xml:space="preserve"> 718</v>
      </c>
      <c r="E18" s="308" t="s">
        <v>891</v>
      </c>
      <c r="F18" s="301">
        <f t="shared" si="8"/>
        <v>0</v>
      </c>
      <c r="G18" s="302" t="s">
        <v>1063</v>
      </c>
      <c r="H18" s="302" t="s">
        <v>151</v>
      </c>
      <c r="I18" s="302" t="s">
        <v>1096</v>
      </c>
      <c r="J18" s="303">
        <v>104000</v>
      </c>
      <c r="K18" s="312">
        <f t="shared" si="0"/>
        <v>3900</v>
      </c>
      <c r="L18" s="301" t="s">
        <v>69</v>
      </c>
      <c r="M18" s="305">
        <f t="shared" si="9"/>
        <v>100100</v>
      </c>
      <c r="N18" s="305">
        <f>2000+200+350+600+750</f>
        <v>3900</v>
      </c>
      <c r="O18" s="306">
        <f t="shared" si="11"/>
        <v>104000</v>
      </c>
      <c r="P18" s="295"/>
      <c r="Q18" s="292" t="s">
        <v>1141</v>
      </c>
      <c r="R18" s="22"/>
      <c r="S18" s="22">
        <f t="shared" si="2"/>
        <v>104000</v>
      </c>
      <c r="T18" s="22">
        <f t="shared" si="3"/>
        <v>148571.42857142858</v>
      </c>
      <c r="U18" s="23">
        <f t="shared" si="4"/>
        <v>169795.91836734695</v>
      </c>
      <c r="V18" s="24">
        <f t="shared" si="5"/>
        <v>0.12500000000000003</v>
      </c>
      <c r="W18" s="23">
        <f t="shared" si="12"/>
        <v>169800</v>
      </c>
      <c r="X18" s="164">
        <f t="shared" si="6"/>
        <v>0.30000000000000004</v>
      </c>
      <c r="Y18" s="253">
        <v>110000</v>
      </c>
      <c r="Z18" s="188">
        <f>T18-Y18</f>
        <v>38571.42857142858</v>
      </c>
      <c r="AA18" s="189">
        <f>Z18/Y18</f>
        <v>0.35064935064935071</v>
      </c>
      <c r="AB18" s="34"/>
      <c r="AC18" s="164"/>
      <c r="AD18" s="35"/>
      <c r="AE18" s="36"/>
      <c r="AF18" s="29"/>
      <c r="AG18" s="29"/>
      <c r="AH18" s="30"/>
      <c r="AI18" s="172" t="s">
        <v>608</v>
      </c>
      <c r="AJ18" s="29"/>
      <c r="AK18" s="29"/>
      <c r="AL18" s="30"/>
      <c r="AM18" s="172" t="s">
        <v>608</v>
      </c>
      <c r="AN18" s="29"/>
      <c r="AO18" s="29"/>
      <c r="AP18" s="30"/>
      <c r="AQ18" s="172" t="s">
        <v>608</v>
      </c>
      <c r="AR18" s="29"/>
      <c r="AS18" s="29"/>
      <c r="AT18" s="30"/>
      <c r="AU18" s="172" t="s">
        <v>608</v>
      </c>
      <c r="AV18" s="29"/>
      <c r="AW18" s="29"/>
      <c r="AX18" s="30"/>
      <c r="AY18" s="55"/>
      <c r="AZ18" s="29"/>
      <c r="BA18" s="29"/>
      <c r="BB18" s="30"/>
      <c r="BC18" s="172" t="s">
        <v>751</v>
      </c>
      <c r="BD18" s="29"/>
      <c r="BE18" s="29"/>
      <c r="BF18" s="30"/>
      <c r="BG18" s="55"/>
      <c r="BH18" s="29"/>
      <c r="BI18" s="29"/>
      <c r="BJ18" s="30"/>
      <c r="BK18" s="172" t="s">
        <v>751</v>
      </c>
      <c r="BL18" s="29"/>
      <c r="BM18" s="29"/>
      <c r="BN18" s="30"/>
      <c r="BO18" s="55"/>
      <c r="BP18" s="29"/>
      <c r="BQ18" s="29"/>
      <c r="BR18" s="30"/>
      <c r="BS18" s="55"/>
      <c r="BT18" s="29"/>
      <c r="BU18" s="29"/>
      <c r="BV18" s="30"/>
      <c r="BW18" s="55"/>
      <c r="BX18" s="29"/>
      <c r="BY18" s="29"/>
      <c r="BZ18" s="30"/>
      <c r="CA18" s="31"/>
    </row>
    <row r="19" spans="1:79" hidden="1">
      <c r="A19" s="71" t="s">
        <v>1236</v>
      </c>
      <c r="B19" s="297"/>
      <c r="C19" s="307" t="s">
        <v>892</v>
      </c>
      <c r="D19" s="299" t="str">
        <f t="shared" si="7"/>
        <v xml:space="preserve"> 742</v>
      </c>
      <c r="E19" s="308" t="s">
        <v>892</v>
      </c>
      <c r="F19" s="301">
        <f t="shared" si="8"/>
        <v>0</v>
      </c>
      <c r="G19" s="302" t="s">
        <v>1063</v>
      </c>
      <c r="H19" s="302" t="s">
        <v>151</v>
      </c>
      <c r="I19" s="302" t="s">
        <v>1096</v>
      </c>
      <c r="J19" s="303">
        <v>104000</v>
      </c>
      <c r="K19" s="312">
        <f t="shared" si="0"/>
        <v>3900</v>
      </c>
      <c r="L19" s="301" t="s">
        <v>69</v>
      </c>
      <c r="M19" s="305">
        <f t="shared" si="9"/>
        <v>100100</v>
      </c>
      <c r="N19" s="305">
        <f>2000+200+350+600+750</f>
        <v>3900</v>
      </c>
      <c r="O19" s="306">
        <f t="shared" si="11"/>
        <v>104000</v>
      </c>
      <c r="P19" s="295"/>
      <c r="Q19" s="292" t="s">
        <v>1141</v>
      </c>
      <c r="R19" s="22"/>
      <c r="S19" s="22">
        <f t="shared" si="2"/>
        <v>104000</v>
      </c>
      <c r="T19" s="22">
        <f t="shared" si="3"/>
        <v>148571.42857142858</v>
      </c>
      <c r="U19" s="23">
        <f t="shared" si="4"/>
        <v>169795.91836734695</v>
      </c>
      <c r="V19" s="24">
        <f t="shared" si="5"/>
        <v>0.12500000000000003</v>
      </c>
      <c r="W19" s="23">
        <f t="shared" si="12"/>
        <v>169800</v>
      </c>
      <c r="X19" s="164">
        <f t="shared" si="6"/>
        <v>0.30000000000000004</v>
      </c>
      <c r="Y19" s="253">
        <v>110000</v>
      </c>
      <c r="Z19" s="188">
        <f>T19-Y19</f>
        <v>38571.42857142858</v>
      </c>
      <c r="AA19" s="189">
        <f>Z19/Y19</f>
        <v>0.35064935064935071</v>
      </c>
      <c r="AB19" s="34"/>
      <c r="AC19" s="164"/>
      <c r="AD19" s="35"/>
      <c r="AE19" s="36"/>
      <c r="AF19" s="29"/>
      <c r="AG19" s="29"/>
      <c r="AH19" s="30"/>
      <c r="AI19" s="55"/>
      <c r="AJ19" s="29"/>
      <c r="AK19" s="29"/>
      <c r="AL19" s="30"/>
      <c r="AM19" s="55"/>
      <c r="AN19" s="29"/>
      <c r="AO19" s="29"/>
      <c r="AP19" s="30"/>
      <c r="AQ19" s="172" t="s">
        <v>608</v>
      </c>
      <c r="AR19" s="29"/>
      <c r="AS19" s="29"/>
      <c r="AT19" s="30"/>
      <c r="AU19" s="172" t="s">
        <v>608</v>
      </c>
      <c r="AV19" s="29"/>
      <c r="AW19" s="29"/>
      <c r="AX19" s="30"/>
      <c r="AY19" s="55"/>
      <c r="AZ19" s="29"/>
      <c r="BA19" s="29"/>
      <c r="BB19" s="30"/>
      <c r="BC19" s="172" t="s">
        <v>751</v>
      </c>
      <c r="BD19" s="29"/>
      <c r="BE19" s="29"/>
      <c r="BF19" s="30"/>
      <c r="BG19" s="55"/>
      <c r="BH19" s="29"/>
      <c r="BI19" s="29"/>
      <c r="BJ19" s="30"/>
      <c r="BK19" s="55"/>
      <c r="BL19" s="29"/>
      <c r="BM19" s="29"/>
      <c r="BN19" s="30"/>
      <c r="BO19" s="55"/>
      <c r="BP19" s="29"/>
      <c r="BQ19" s="29"/>
      <c r="BR19" s="30"/>
      <c r="BS19" s="55"/>
      <c r="BT19" s="29"/>
      <c r="BU19" s="29"/>
      <c r="BV19" s="30"/>
      <c r="BW19" s="55"/>
      <c r="BX19" s="29"/>
      <c r="BY19" s="29"/>
      <c r="BZ19" s="30"/>
      <c r="CA19" s="31"/>
    </row>
    <row r="20" spans="1:79" hidden="1">
      <c r="A20" s="71" t="s">
        <v>1236</v>
      </c>
      <c r="B20" s="297"/>
      <c r="C20" s="307" t="s">
        <v>893</v>
      </c>
      <c r="D20" s="299" t="str">
        <f t="shared" si="7"/>
        <v xml:space="preserve"> 929</v>
      </c>
      <c r="E20" s="308" t="s">
        <v>893</v>
      </c>
      <c r="F20" s="301">
        <f t="shared" si="8"/>
        <v>0</v>
      </c>
      <c r="G20" s="302" t="s">
        <v>1063</v>
      </c>
      <c r="H20" s="302" t="s">
        <v>1071</v>
      </c>
      <c r="I20" s="302" t="s">
        <v>1096</v>
      </c>
      <c r="J20" s="303">
        <v>112000</v>
      </c>
      <c r="K20" s="312">
        <f t="shared" si="0"/>
        <v>6150</v>
      </c>
      <c r="L20" s="301" t="s">
        <v>69</v>
      </c>
      <c r="M20" s="305">
        <f t="shared" si="9"/>
        <v>105850</v>
      </c>
      <c r="N20" s="305">
        <f>2000+200+350+600+3000</f>
        <v>6150</v>
      </c>
      <c r="O20" s="306">
        <f t="shared" si="11"/>
        <v>112000</v>
      </c>
      <c r="P20" s="294"/>
      <c r="Q20" s="292" t="s">
        <v>1142</v>
      </c>
      <c r="R20" s="22"/>
      <c r="S20" s="22">
        <f t="shared" si="2"/>
        <v>112000</v>
      </c>
      <c r="T20" s="22">
        <f t="shared" si="3"/>
        <v>160000</v>
      </c>
      <c r="U20" s="23">
        <f t="shared" si="4"/>
        <v>182857.14285714287</v>
      </c>
      <c r="V20" s="24">
        <f t="shared" si="5"/>
        <v>0.12500000000000006</v>
      </c>
      <c r="W20" s="23">
        <f t="shared" si="12"/>
        <v>182900</v>
      </c>
      <c r="X20" s="164">
        <f t="shared" si="6"/>
        <v>0.3</v>
      </c>
      <c r="Y20" s="25"/>
      <c r="Z20" s="25"/>
      <c r="AA20" s="25"/>
      <c r="AB20" s="34"/>
      <c r="AC20" s="164"/>
      <c r="AD20" s="35"/>
      <c r="AE20" s="36"/>
      <c r="AF20" s="29"/>
      <c r="AG20" s="29"/>
      <c r="AH20" s="30"/>
      <c r="AI20" s="55"/>
      <c r="AJ20" s="29"/>
      <c r="AK20" s="29"/>
      <c r="AL20" s="30"/>
      <c r="AM20" s="55"/>
      <c r="AN20" s="29"/>
      <c r="AO20" s="29"/>
      <c r="AP20" s="30"/>
      <c r="AQ20" s="172" t="s">
        <v>608</v>
      </c>
      <c r="AR20" s="29"/>
      <c r="AS20" s="29"/>
      <c r="AT20" s="30"/>
      <c r="AU20" s="172" t="s">
        <v>608</v>
      </c>
      <c r="AV20" s="29"/>
      <c r="AW20" s="29"/>
      <c r="AX20" s="30"/>
      <c r="AY20" s="55"/>
      <c r="AZ20" s="29"/>
      <c r="BA20" s="29"/>
      <c r="BB20" s="30"/>
      <c r="BC20" s="172" t="s">
        <v>751</v>
      </c>
      <c r="BD20" s="29"/>
      <c r="BE20" s="29"/>
      <c r="BF20" s="30"/>
      <c r="BG20" s="55"/>
      <c r="BH20" s="29"/>
      <c r="BI20" s="29"/>
      <c r="BJ20" s="30"/>
      <c r="BK20" s="55"/>
      <c r="BL20" s="29"/>
      <c r="BM20" s="29"/>
      <c r="BN20" s="30"/>
      <c r="BO20" s="55"/>
      <c r="BP20" s="29"/>
      <c r="BQ20" s="29"/>
      <c r="BR20" s="30"/>
      <c r="BS20" s="55"/>
      <c r="BT20" s="29"/>
      <c r="BU20" s="29"/>
      <c r="BV20" s="30"/>
      <c r="BW20" s="55"/>
      <c r="BX20" s="29"/>
      <c r="BY20" s="29"/>
      <c r="BZ20" s="30"/>
      <c r="CA20" s="31"/>
    </row>
    <row r="21" spans="1:79" hidden="1">
      <c r="A21" s="71" t="s">
        <v>1236</v>
      </c>
      <c r="B21" s="297"/>
      <c r="C21" s="307" t="s">
        <v>248</v>
      </c>
      <c r="D21" s="299" t="str">
        <f t="shared" si="7"/>
        <v xml:space="preserve"> 809</v>
      </c>
      <c r="E21" s="308" t="s">
        <v>248</v>
      </c>
      <c r="F21" s="301">
        <f t="shared" si="8"/>
        <v>0</v>
      </c>
      <c r="G21" s="302" t="s">
        <v>35</v>
      </c>
      <c r="H21" s="302" t="s">
        <v>1069</v>
      </c>
      <c r="I21" s="302" t="s">
        <v>1096</v>
      </c>
      <c r="J21" s="303">
        <v>117500</v>
      </c>
      <c r="K21" s="304">
        <f t="shared" si="0"/>
        <v>6900</v>
      </c>
      <c r="L21" s="301" t="s">
        <v>69</v>
      </c>
      <c r="M21" s="305">
        <f t="shared" si="9"/>
        <v>110600</v>
      </c>
      <c r="N21" s="305">
        <f>2000+200+600+550+3000+550</f>
        <v>6900</v>
      </c>
      <c r="O21" s="306">
        <f t="shared" si="11"/>
        <v>117500</v>
      </c>
      <c r="P21" s="293"/>
      <c r="Q21" s="292" t="s">
        <v>1143</v>
      </c>
      <c r="R21" s="22"/>
      <c r="S21" s="22">
        <f t="shared" si="2"/>
        <v>117500</v>
      </c>
      <c r="T21" s="22">
        <f t="shared" si="3"/>
        <v>167857.14285714287</v>
      </c>
      <c r="U21" s="23">
        <f t="shared" si="4"/>
        <v>191836.73469387757</v>
      </c>
      <c r="V21" s="24">
        <f t="shared" si="5"/>
        <v>0.12500000000000003</v>
      </c>
      <c r="W21" s="23">
        <f t="shared" si="12"/>
        <v>191900</v>
      </c>
      <c r="X21" s="164">
        <f t="shared" si="6"/>
        <v>0.30000000000000004</v>
      </c>
      <c r="Y21" s="25"/>
      <c r="Z21" s="25"/>
      <c r="AA21" s="25"/>
      <c r="AB21" s="34"/>
      <c r="AC21" s="164"/>
      <c r="AD21" s="35"/>
      <c r="AE21" s="36"/>
      <c r="AF21" s="29"/>
      <c r="AG21" s="29"/>
      <c r="AH21" s="30"/>
      <c r="AI21" s="172" t="s">
        <v>608</v>
      </c>
      <c r="AJ21" s="29"/>
      <c r="AK21" s="29"/>
      <c r="AL21" s="30"/>
      <c r="AM21" s="172" t="s">
        <v>608</v>
      </c>
      <c r="AN21" s="29"/>
      <c r="AO21" s="29"/>
      <c r="AP21" s="30"/>
      <c r="AQ21" s="172" t="s">
        <v>608</v>
      </c>
      <c r="AR21" s="29"/>
      <c r="AS21" s="29"/>
      <c r="AT21" s="30"/>
      <c r="AU21" s="172" t="s">
        <v>608</v>
      </c>
      <c r="AV21" s="29"/>
      <c r="AW21" s="29"/>
      <c r="AX21" s="30"/>
      <c r="AY21" s="55"/>
      <c r="AZ21" s="29"/>
      <c r="BA21" s="29"/>
      <c r="BB21" s="30"/>
      <c r="BC21" s="172" t="s">
        <v>608</v>
      </c>
      <c r="BD21" s="29"/>
      <c r="BE21" s="29"/>
      <c r="BF21" s="30"/>
      <c r="BG21" s="55"/>
      <c r="BH21" s="29"/>
      <c r="BI21" s="29"/>
      <c r="BJ21" s="30"/>
      <c r="BK21" s="172" t="s">
        <v>608</v>
      </c>
      <c r="BL21" s="29"/>
      <c r="BM21" s="29"/>
      <c r="BN21" s="30"/>
      <c r="BO21" s="55"/>
      <c r="BP21" s="29"/>
      <c r="BQ21" s="29"/>
      <c r="BR21" s="30"/>
      <c r="BS21" s="55"/>
      <c r="BT21" s="29"/>
      <c r="BU21" s="29"/>
      <c r="BV21" s="30"/>
      <c r="BW21" s="55"/>
      <c r="BX21" s="29"/>
      <c r="BY21" s="29"/>
      <c r="BZ21" s="30"/>
      <c r="CA21" s="31"/>
    </row>
    <row r="22" spans="1:79" hidden="1">
      <c r="A22" s="71" t="s">
        <v>1236</v>
      </c>
      <c r="B22" s="297"/>
      <c r="C22" s="307" t="s">
        <v>642</v>
      </c>
      <c r="D22" s="299" t="str">
        <f t="shared" si="7"/>
        <v xml:space="preserve"> 381</v>
      </c>
      <c r="E22" s="308" t="s">
        <v>642</v>
      </c>
      <c r="F22" s="301">
        <f t="shared" si="8"/>
        <v>0</v>
      </c>
      <c r="G22" s="302" t="s">
        <v>35</v>
      </c>
      <c r="H22" s="302" t="s">
        <v>1070</v>
      </c>
      <c r="I22" s="302" t="s">
        <v>1096</v>
      </c>
      <c r="J22" s="303">
        <v>105000</v>
      </c>
      <c r="K22" s="312">
        <f t="shared" si="0"/>
        <v>6700</v>
      </c>
      <c r="L22" s="301" t="s">
        <v>69</v>
      </c>
      <c r="M22" s="305">
        <f t="shared" si="9"/>
        <v>98300</v>
      </c>
      <c r="N22" s="305">
        <f>2000+200+350+600+550+3000</f>
        <v>6700</v>
      </c>
      <c r="O22" s="306">
        <f t="shared" si="11"/>
        <v>105000</v>
      </c>
      <c r="P22" s="294"/>
      <c r="Q22" s="292" t="s">
        <v>1144</v>
      </c>
      <c r="R22" s="22"/>
      <c r="S22" s="22">
        <f t="shared" si="2"/>
        <v>105000</v>
      </c>
      <c r="T22" s="22">
        <f t="shared" si="3"/>
        <v>150000</v>
      </c>
      <c r="U22" s="23">
        <f t="shared" si="4"/>
        <v>171428.57142857142</v>
      </c>
      <c r="V22" s="24">
        <f t="shared" si="5"/>
        <v>0.12499999999999996</v>
      </c>
      <c r="W22" s="23">
        <f t="shared" si="12"/>
        <v>171500</v>
      </c>
      <c r="X22" s="164">
        <f t="shared" si="6"/>
        <v>0.3</v>
      </c>
      <c r="Y22" s="25"/>
      <c r="Z22" s="25"/>
      <c r="AA22" s="37"/>
      <c r="AB22" s="26"/>
      <c r="AC22" s="164"/>
      <c r="AD22" s="35"/>
      <c r="AE22" s="36"/>
      <c r="AF22" s="29"/>
      <c r="AG22" s="29"/>
      <c r="AH22" s="30"/>
      <c r="AI22" s="55"/>
      <c r="AJ22" s="29"/>
      <c r="AK22" s="29"/>
      <c r="AL22" s="30"/>
      <c r="AM22" s="55"/>
      <c r="AN22" s="29"/>
      <c r="AO22" s="29"/>
      <c r="AP22" s="30"/>
      <c r="AQ22" s="172" t="s">
        <v>608</v>
      </c>
      <c r="AR22" s="29"/>
      <c r="AS22" s="29"/>
      <c r="AT22" s="30"/>
      <c r="AU22" s="172" t="s">
        <v>608</v>
      </c>
      <c r="AV22" s="29"/>
      <c r="AW22" s="29"/>
      <c r="AX22" s="30"/>
      <c r="AY22" s="55"/>
      <c r="AZ22" s="29"/>
      <c r="BA22" s="29"/>
      <c r="BB22" s="30"/>
      <c r="BC22" s="172" t="s">
        <v>751</v>
      </c>
      <c r="BD22" s="29"/>
      <c r="BE22" s="29"/>
      <c r="BF22" s="30"/>
      <c r="BG22" s="55"/>
      <c r="BH22" s="29"/>
      <c r="BI22" s="29"/>
      <c r="BJ22" s="30"/>
      <c r="BK22" s="55"/>
      <c r="BL22" s="29"/>
      <c r="BM22" s="29"/>
      <c r="BN22" s="30"/>
      <c r="BO22" s="55"/>
      <c r="BP22" s="29"/>
      <c r="BQ22" s="29"/>
      <c r="BR22" s="30"/>
      <c r="BS22" s="55"/>
      <c r="BT22" s="29"/>
      <c r="BU22" s="29"/>
      <c r="BV22" s="30"/>
      <c r="BW22" s="55"/>
      <c r="BX22" s="29"/>
      <c r="BY22" s="29"/>
      <c r="BZ22" s="30"/>
      <c r="CA22" s="31"/>
    </row>
    <row r="23" spans="1:79" hidden="1">
      <c r="A23" s="71" t="s">
        <v>1236</v>
      </c>
      <c r="B23" s="297"/>
      <c r="C23" s="307" t="s">
        <v>1237</v>
      </c>
      <c r="D23" s="299" t="str">
        <f t="shared" si="7"/>
        <v xml:space="preserve"> 549</v>
      </c>
      <c r="E23" s="309" t="s">
        <v>1237</v>
      </c>
      <c r="F23" s="301">
        <f t="shared" si="8"/>
        <v>0</v>
      </c>
      <c r="G23" s="302" t="s">
        <v>1063</v>
      </c>
      <c r="H23" s="302" t="s">
        <v>1240</v>
      </c>
      <c r="I23" s="302" t="s">
        <v>1096</v>
      </c>
      <c r="J23" s="303">
        <v>0</v>
      </c>
      <c r="K23" s="312">
        <v>0</v>
      </c>
      <c r="L23" s="309" t="s">
        <v>1238</v>
      </c>
      <c r="M23" s="305">
        <v>0</v>
      </c>
      <c r="N23" s="305">
        <v>0</v>
      </c>
      <c r="O23" s="306">
        <v>0</v>
      </c>
      <c r="P23" s="294"/>
      <c r="Q23" s="292"/>
      <c r="R23" s="22"/>
      <c r="S23" s="22"/>
      <c r="T23" s="22"/>
      <c r="U23" s="23"/>
      <c r="V23" s="24"/>
      <c r="W23" s="23"/>
      <c r="X23" s="164"/>
      <c r="Y23" s="25"/>
      <c r="Z23" s="25"/>
      <c r="AA23" s="37"/>
      <c r="AB23" s="26"/>
      <c r="AC23" s="164"/>
      <c r="AD23" s="35"/>
      <c r="AE23" s="36"/>
      <c r="AF23" s="29"/>
      <c r="AG23" s="29"/>
      <c r="AH23" s="30"/>
      <c r="AI23" s="55"/>
      <c r="AJ23" s="29"/>
      <c r="AK23" s="29"/>
      <c r="AL23" s="30"/>
      <c r="AM23" s="55"/>
      <c r="AN23" s="29"/>
      <c r="AO23" s="29"/>
      <c r="AP23" s="30"/>
      <c r="AQ23" s="172"/>
      <c r="AR23" s="29"/>
      <c r="AS23" s="29"/>
      <c r="AT23" s="30"/>
      <c r="AU23" s="172"/>
      <c r="AV23" s="29"/>
      <c r="AW23" s="29"/>
      <c r="AX23" s="30"/>
      <c r="AY23" s="55"/>
      <c r="AZ23" s="29"/>
      <c r="BA23" s="29"/>
      <c r="BB23" s="30"/>
      <c r="BC23" s="172"/>
      <c r="BD23" s="29"/>
      <c r="BE23" s="29"/>
      <c r="BF23" s="30"/>
      <c r="BG23" s="55"/>
      <c r="BH23" s="29"/>
      <c r="BI23" s="29"/>
      <c r="BJ23" s="30"/>
      <c r="BK23" s="55"/>
      <c r="BL23" s="29"/>
      <c r="BM23" s="29"/>
      <c r="BN23" s="30"/>
      <c r="BO23" s="55"/>
      <c r="BP23" s="29"/>
      <c r="BQ23" s="29"/>
      <c r="BR23" s="30"/>
      <c r="BS23" s="55"/>
      <c r="BT23" s="29"/>
      <c r="BU23" s="29"/>
      <c r="BV23" s="30"/>
      <c r="BW23" s="55"/>
      <c r="BX23" s="29"/>
      <c r="BY23" s="29"/>
      <c r="BZ23" s="30"/>
      <c r="CA23" s="31"/>
    </row>
    <row r="24" spans="1:79" hidden="1">
      <c r="A24" s="71" t="s">
        <v>1236</v>
      </c>
      <c r="B24" s="297"/>
      <c r="C24" s="307" t="s">
        <v>1239</v>
      </c>
      <c r="D24" s="299" t="str">
        <f t="shared" si="7"/>
        <v xml:space="preserve"> 933</v>
      </c>
      <c r="E24" s="309" t="s">
        <v>1239</v>
      </c>
      <c r="F24" s="301">
        <f t="shared" si="8"/>
        <v>0</v>
      </c>
      <c r="G24" s="302" t="s">
        <v>35</v>
      </c>
      <c r="H24" s="302" t="s">
        <v>263</v>
      </c>
      <c r="I24" s="302" t="s">
        <v>1096</v>
      </c>
      <c r="J24" s="303">
        <v>0</v>
      </c>
      <c r="K24" s="312">
        <v>0</v>
      </c>
      <c r="L24" s="309" t="s">
        <v>1238</v>
      </c>
      <c r="M24" s="305">
        <v>0</v>
      </c>
      <c r="N24" s="305">
        <v>0</v>
      </c>
      <c r="O24" s="306">
        <v>0</v>
      </c>
      <c r="P24" s="294"/>
      <c r="Q24" s="292"/>
      <c r="R24" s="22"/>
      <c r="S24" s="22"/>
      <c r="T24" s="22"/>
      <c r="U24" s="23"/>
      <c r="V24" s="24"/>
      <c r="W24" s="23"/>
      <c r="X24" s="164"/>
      <c r="Y24" s="25"/>
      <c r="Z24" s="25"/>
      <c r="AA24" s="37"/>
      <c r="AB24" s="26"/>
      <c r="AC24" s="164"/>
      <c r="AD24" s="35"/>
      <c r="AE24" s="36"/>
      <c r="AF24" s="29"/>
      <c r="AG24" s="29"/>
      <c r="AH24" s="30"/>
      <c r="AI24" s="55"/>
      <c r="AJ24" s="29"/>
      <c r="AK24" s="29"/>
      <c r="AL24" s="30"/>
      <c r="AM24" s="55"/>
      <c r="AN24" s="29"/>
      <c r="AO24" s="29"/>
      <c r="AP24" s="30"/>
      <c r="AQ24" s="172"/>
      <c r="AR24" s="29"/>
      <c r="AS24" s="29"/>
      <c r="AT24" s="30"/>
      <c r="AU24" s="172"/>
      <c r="AV24" s="29"/>
      <c r="AW24" s="29"/>
      <c r="AX24" s="30"/>
      <c r="AY24" s="55"/>
      <c r="AZ24" s="29"/>
      <c r="BA24" s="29"/>
      <c r="BB24" s="30"/>
      <c r="BC24" s="172"/>
      <c r="BD24" s="29"/>
      <c r="BE24" s="29"/>
      <c r="BF24" s="30"/>
      <c r="BG24" s="55"/>
      <c r="BH24" s="29"/>
      <c r="BI24" s="29"/>
      <c r="BJ24" s="30"/>
      <c r="BK24" s="55"/>
      <c r="BL24" s="29"/>
      <c r="BM24" s="29"/>
      <c r="BN24" s="30"/>
      <c r="BO24" s="55"/>
      <c r="BP24" s="29"/>
      <c r="BQ24" s="29"/>
      <c r="BR24" s="30"/>
      <c r="BS24" s="55"/>
      <c r="BT24" s="29"/>
      <c r="BU24" s="29"/>
      <c r="BV24" s="30"/>
      <c r="BW24" s="55"/>
      <c r="BX24" s="29"/>
      <c r="BY24" s="29"/>
      <c r="BZ24" s="30"/>
      <c r="CA24" s="31"/>
    </row>
    <row r="25" spans="1:79" hidden="1">
      <c r="B25" s="297"/>
      <c r="C25" s="307" t="s">
        <v>894</v>
      </c>
      <c r="D25" s="299" t="str">
        <f t="shared" si="7"/>
        <v xml:space="preserve"> 493</v>
      </c>
      <c r="E25" s="308" t="s">
        <v>894</v>
      </c>
      <c r="F25" s="301">
        <f t="shared" si="8"/>
        <v>0</v>
      </c>
      <c r="G25" s="302" t="s">
        <v>1063</v>
      </c>
      <c r="H25" s="302" t="s">
        <v>1072</v>
      </c>
      <c r="I25" s="302" t="s">
        <v>1097</v>
      </c>
      <c r="J25" s="313">
        <f>M25</f>
        <v>55000</v>
      </c>
      <c r="K25" s="312">
        <f t="shared" si="0"/>
        <v>0</v>
      </c>
      <c r="L25" s="314" t="s">
        <v>67</v>
      </c>
      <c r="M25" s="315">
        <v>55000</v>
      </c>
      <c r="N25" s="305">
        <v>6650</v>
      </c>
      <c r="O25" s="306">
        <f t="shared" si="11"/>
        <v>61650</v>
      </c>
      <c r="P25" s="294"/>
      <c r="Q25" s="292" t="s">
        <v>1145</v>
      </c>
      <c r="R25" s="22"/>
      <c r="S25" s="22">
        <f t="shared" si="2"/>
        <v>61650</v>
      </c>
      <c r="T25" s="22">
        <f t="shared" si="3"/>
        <v>88071.42857142858</v>
      </c>
      <c r="U25" s="23">
        <f t="shared" si="4"/>
        <v>100653.06122448981</v>
      </c>
      <c r="V25" s="24">
        <f t="shared" si="5"/>
        <v>0.12500000000000003</v>
      </c>
      <c r="W25" s="23">
        <f t="shared" si="12"/>
        <v>100700</v>
      </c>
      <c r="X25" s="164">
        <f t="shared" si="6"/>
        <v>0.30000000000000004</v>
      </c>
      <c r="Y25" s="25"/>
      <c r="Z25" s="25"/>
      <c r="AA25" s="37"/>
      <c r="AB25" s="34"/>
      <c r="AC25" s="164"/>
      <c r="AD25" s="35"/>
      <c r="AE25" s="36"/>
      <c r="AF25" s="29"/>
      <c r="AG25" s="29"/>
      <c r="AH25" s="30"/>
      <c r="AI25" s="172" t="s">
        <v>608</v>
      </c>
      <c r="AJ25" s="29"/>
      <c r="AK25" s="29"/>
      <c r="AL25" s="30"/>
      <c r="AM25" s="172" t="s">
        <v>608</v>
      </c>
      <c r="AN25" s="29"/>
      <c r="AO25" s="29"/>
      <c r="AP25" s="30"/>
      <c r="AQ25" s="172" t="s">
        <v>608</v>
      </c>
      <c r="AR25" s="29"/>
      <c r="AS25" s="29"/>
      <c r="AT25" s="30"/>
      <c r="AU25" s="172" t="s">
        <v>608</v>
      </c>
      <c r="AV25" s="29"/>
      <c r="AW25" s="29"/>
      <c r="AX25" s="30"/>
      <c r="AY25" s="55"/>
      <c r="AZ25" s="29"/>
      <c r="BA25" s="29"/>
      <c r="BB25" s="30"/>
      <c r="BC25" s="172" t="s">
        <v>608</v>
      </c>
      <c r="BD25" s="29"/>
      <c r="BE25" s="29"/>
      <c r="BF25" s="30"/>
      <c r="BG25" s="55"/>
      <c r="BH25" s="29"/>
      <c r="BI25" s="29"/>
      <c r="BJ25" s="30"/>
      <c r="BK25" s="172" t="s">
        <v>608</v>
      </c>
      <c r="BL25" s="29"/>
      <c r="BM25" s="29"/>
      <c r="BN25" s="30"/>
      <c r="BO25" s="55"/>
      <c r="BP25" s="29"/>
      <c r="BQ25" s="29"/>
      <c r="BR25" s="30"/>
      <c r="BS25" s="55"/>
      <c r="BT25" s="29"/>
      <c r="BU25" s="29"/>
      <c r="BV25" s="30"/>
      <c r="BW25" s="31"/>
    </row>
    <row r="26" spans="1:79" hidden="1">
      <c r="B26" s="297"/>
      <c r="C26" s="307" t="s">
        <v>895</v>
      </c>
      <c r="D26" s="299" t="str">
        <f t="shared" si="7"/>
        <v xml:space="preserve"> 688</v>
      </c>
      <c r="E26" s="308" t="s">
        <v>895</v>
      </c>
      <c r="F26" s="301">
        <f t="shared" si="8"/>
        <v>0</v>
      </c>
      <c r="G26" s="302" t="s">
        <v>1063</v>
      </c>
      <c r="H26" s="302" t="s">
        <v>292</v>
      </c>
      <c r="I26" s="302" t="s">
        <v>1097</v>
      </c>
      <c r="J26" s="313">
        <f t="shared" ref="J26:J29" si="14">M26</f>
        <v>65000</v>
      </c>
      <c r="K26" s="312">
        <f t="shared" si="0"/>
        <v>0</v>
      </c>
      <c r="L26" s="314" t="s">
        <v>67</v>
      </c>
      <c r="M26" s="315">
        <v>65000</v>
      </c>
      <c r="N26" s="305">
        <v>6900</v>
      </c>
      <c r="O26" s="306">
        <f>M26+N26</f>
        <v>71900</v>
      </c>
      <c r="P26" s="294"/>
      <c r="Q26" s="292" t="s">
        <v>1146</v>
      </c>
      <c r="R26" s="22"/>
      <c r="S26" s="22">
        <f t="shared" si="2"/>
        <v>71900</v>
      </c>
      <c r="T26" s="22">
        <f>S26/0.7</f>
        <v>102714.28571428572</v>
      </c>
      <c r="U26" s="23">
        <f>T26/0.875</f>
        <v>117387.75510204083</v>
      </c>
      <c r="V26" s="24">
        <f>(U26-T26)/U26</f>
        <v>0.125</v>
      </c>
      <c r="W26" s="23">
        <f t="shared" si="12"/>
        <v>117400</v>
      </c>
      <c r="X26" s="164">
        <f t="shared" si="6"/>
        <v>0.30000000000000004</v>
      </c>
      <c r="Y26" s="25"/>
      <c r="Z26" s="25"/>
      <c r="AA26" s="25"/>
      <c r="AB26" s="34"/>
      <c r="AC26" s="164"/>
      <c r="AD26" s="35"/>
      <c r="AE26" s="36"/>
      <c r="AF26" s="29"/>
      <c r="AG26" s="29"/>
      <c r="AH26" s="30"/>
      <c r="AI26" s="172" t="s">
        <v>608</v>
      </c>
      <c r="AJ26" s="29"/>
      <c r="AK26" s="29"/>
      <c r="AL26" s="30"/>
      <c r="AM26" s="172" t="s">
        <v>608</v>
      </c>
      <c r="AN26" s="29"/>
      <c r="AO26" s="29"/>
      <c r="AP26" s="30"/>
      <c r="AQ26" s="172" t="s">
        <v>608</v>
      </c>
      <c r="AR26" s="29"/>
      <c r="AS26" s="29"/>
      <c r="AT26" s="30"/>
      <c r="AU26" s="172" t="s">
        <v>608</v>
      </c>
      <c r="AV26" s="29"/>
      <c r="AW26" s="29"/>
      <c r="AX26" s="30"/>
      <c r="AY26" s="55"/>
      <c r="AZ26" s="29"/>
      <c r="BA26" s="29"/>
      <c r="BB26" s="30"/>
      <c r="BC26" s="172" t="s">
        <v>751</v>
      </c>
      <c r="BD26" s="29"/>
      <c r="BE26" s="29"/>
      <c r="BF26" s="30"/>
      <c r="BG26" s="55"/>
      <c r="BH26" s="29"/>
      <c r="BI26" s="29"/>
      <c r="BJ26" s="30"/>
      <c r="BK26" s="172" t="s">
        <v>751</v>
      </c>
      <c r="BL26" s="29"/>
      <c r="BM26" s="29"/>
      <c r="BN26" s="30"/>
      <c r="BO26" s="55"/>
      <c r="BP26" s="29"/>
      <c r="BQ26" s="29"/>
      <c r="BR26" s="30"/>
      <c r="BS26" s="55"/>
      <c r="BT26" s="29"/>
      <c r="BU26" s="29"/>
      <c r="BV26" s="30"/>
      <c r="BW26" s="55"/>
      <c r="BX26" s="29"/>
      <c r="BY26" s="29"/>
      <c r="BZ26" s="30"/>
      <c r="CA26" s="31"/>
    </row>
    <row r="27" spans="1:79" hidden="1">
      <c r="B27" s="297"/>
      <c r="C27" s="307" t="s">
        <v>896</v>
      </c>
      <c r="D27" s="299" t="str">
        <f t="shared" si="7"/>
        <v xml:space="preserve"> 590</v>
      </c>
      <c r="E27" s="308" t="s">
        <v>896</v>
      </c>
      <c r="F27" s="301">
        <f t="shared" si="8"/>
        <v>0</v>
      </c>
      <c r="G27" s="302" t="s">
        <v>1063</v>
      </c>
      <c r="H27" s="302" t="s">
        <v>292</v>
      </c>
      <c r="I27" s="302" t="s">
        <v>1097</v>
      </c>
      <c r="J27" s="313">
        <f t="shared" si="14"/>
        <v>66000</v>
      </c>
      <c r="K27" s="312">
        <f t="shared" si="0"/>
        <v>0</v>
      </c>
      <c r="L27" s="314" t="s">
        <v>67</v>
      </c>
      <c r="M27" s="315">
        <v>66000</v>
      </c>
      <c r="N27" s="305">
        <v>5900</v>
      </c>
      <c r="O27" s="306">
        <f t="shared" si="11"/>
        <v>71900</v>
      </c>
      <c r="P27" s="294"/>
      <c r="Q27" s="292" t="s">
        <v>1147</v>
      </c>
      <c r="R27" s="22"/>
      <c r="S27" s="22">
        <f t="shared" si="2"/>
        <v>71900</v>
      </c>
      <c r="T27" s="22">
        <f t="shared" si="3"/>
        <v>102714.28571428572</v>
      </c>
      <c r="U27" s="23">
        <f t="shared" si="4"/>
        <v>117387.75510204083</v>
      </c>
      <c r="V27" s="24">
        <f t="shared" si="5"/>
        <v>0.125</v>
      </c>
      <c r="W27" s="23">
        <f t="shared" si="12"/>
        <v>117400</v>
      </c>
      <c r="X27" s="164">
        <f t="shared" si="6"/>
        <v>0.30000000000000004</v>
      </c>
      <c r="Y27" s="25"/>
      <c r="Z27" s="25"/>
      <c r="AA27" s="37"/>
      <c r="AB27" s="26"/>
      <c r="AC27" s="164"/>
      <c r="AD27" s="35"/>
      <c r="AE27" s="36"/>
      <c r="AF27" s="29"/>
      <c r="AG27" s="29"/>
      <c r="AH27" s="30"/>
      <c r="AI27" s="55"/>
      <c r="AJ27" s="29"/>
      <c r="AK27" s="29"/>
      <c r="AL27" s="30"/>
      <c r="AM27" s="55"/>
      <c r="AN27" s="29"/>
      <c r="AO27" s="29"/>
      <c r="AP27" s="30"/>
      <c r="AQ27" s="172" t="s">
        <v>608</v>
      </c>
      <c r="AR27" s="29"/>
      <c r="AS27" s="29"/>
      <c r="AT27" s="30"/>
      <c r="AU27" s="172" t="s">
        <v>608</v>
      </c>
      <c r="AV27" s="29"/>
      <c r="AW27" s="29"/>
      <c r="AX27" s="30"/>
      <c r="AY27" s="55"/>
      <c r="AZ27" s="29"/>
      <c r="BA27" s="29"/>
      <c r="BB27" s="30"/>
      <c r="BC27" s="172" t="s">
        <v>751</v>
      </c>
      <c r="BD27" s="29"/>
      <c r="BE27" s="29"/>
      <c r="BF27" s="30"/>
      <c r="BG27" s="55"/>
      <c r="BH27" s="29"/>
      <c r="BI27" s="29"/>
      <c r="BJ27" s="30"/>
      <c r="BK27" s="55"/>
      <c r="BL27" s="29"/>
      <c r="BM27" s="29"/>
      <c r="BN27" s="30"/>
      <c r="BO27" s="55"/>
      <c r="BP27" s="29"/>
      <c r="BQ27" s="29"/>
      <c r="BR27" s="30"/>
      <c r="BS27" s="55"/>
      <c r="BT27" s="29"/>
      <c r="BU27" s="29"/>
      <c r="BV27" s="30"/>
      <c r="BW27" s="55"/>
      <c r="BX27" s="29"/>
      <c r="BY27" s="29"/>
      <c r="BZ27" s="30"/>
      <c r="CA27" s="31"/>
    </row>
    <row r="28" spans="1:79" hidden="1">
      <c r="A28" s="71"/>
      <c r="B28" s="297"/>
      <c r="C28" s="307" t="s">
        <v>704</v>
      </c>
      <c r="D28" s="299" t="str">
        <f t="shared" si="7"/>
        <v xml:space="preserve"> 184</v>
      </c>
      <c r="E28" s="308" t="s">
        <v>704</v>
      </c>
      <c r="F28" s="301">
        <f t="shared" si="8"/>
        <v>0</v>
      </c>
      <c r="G28" s="302" t="s">
        <v>35</v>
      </c>
      <c r="H28" s="302" t="s">
        <v>1073</v>
      </c>
      <c r="I28" s="302" t="s">
        <v>1097</v>
      </c>
      <c r="J28" s="313">
        <f t="shared" si="14"/>
        <v>68000</v>
      </c>
      <c r="K28" s="304">
        <f t="shared" si="0"/>
        <v>0</v>
      </c>
      <c r="L28" s="314" t="s">
        <v>67</v>
      </c>
      <c r="M28" s="315">
        <v>68000</v>
      </c>
      <c r="N28" s="305">
        <v>7500</v>
      </c>
      <c r="O28" s="306">
        <f t="shared" si="11"/>
        <v>75500</v>
      </c>
      <c r="P28" s="293"/>
      <c r="Q28" s="292" t="s">
        <v>1148</v>
      </c>
      <c r="R28" s="22"/>
      <c r="S28" s="22">
        <f t="shared" si="2"/>
        <v>75500</v>
      </c>
      <c r="T28" s="22">
        <f t="shared" si="3"/>
        <v>107857.14285714287</v>
      </c>
      <c r="U28" s="23">
        <f t="shared" si="4"/>
        <v>123265.30612244899</v>
      </c>
      <c r="V28" s="24">
        <f t="shared" si="5"/>
        <v>0.125</v>
      </c>
      <c r="W28" s="23">
        <f t="shared" si="12"/>
        <v>123300</v>
      </c>
      <c r="X28" s="164">
        <f t="shared" si="6"/>
        <v>0.3000000000000001</v>
      </c>
      <c r="Y28" s="25"/>
      <c r="Z28" s="25"/>
      <c r="AA28" s="25"/>
      <c r="AB28" s="34"/>
      <c r="AC28" s="164"/>
      <c r="AD28" s="35"/>
      <c r="AE28" s="36"/>
      <c r="AF28" s="29"/>
      <c r="AG28" s="29"/>
      <c r="AH28" s="30"/>
      <c r="AI28" s="172" t="s">
        <v>608</v>
      </c>
      <c r="AJ28" s="29"/>
      <c r="AK28" s="29"/>
      <c r="AL28" s="30"/>
      <c r="AM28" s="172" t="s">
        <v>608</v>
      </c>
      <c r="AN28" s="29"/>
      <c r="AO28" s="29"/>
      <c r="AP28" s="30"/>
      <c r="AQ28" s="172" t="s">
        <v>608</v>
      </c>
      <c r="AR28" s="29"/>
      <c r="AS28" s="29"/>
      <c r="AT28" s="30"/>
      <c r="AU28" s="172" t="s">
        <v>608</v>
      </c>
      <c r="AV28" s="29"/>
      <c r="AW28" s="29"/>
      <c r="AX28" s="30"/>
      <c r="AY28" s="55"/>
      <c r="AZ28" s="29"/>
      <c r="BA28" s="29"/>
      <c r="BB28" s="30"/>
      <c r="BC28" s="172" t="s">
        <v>751</v>
      </c>
      <c r="BD28" s="29"/>
      <c r="BE28" s="29"/>
      <c r="BF28" s="30"/>
      <c r="BG28" s="55"/>
      <c r="BH28" s="29"/>
      <c r="BI28" s="29"/>
      <c r="BJ28" s="30"/>
      <c r="BK28" s="55"/>
      <c r="BL28" s="29"/>
      <c r="BM28" s="29"/>
      <c r="BN28" s="30"/>
      <c r="BO28" s="55"/>
      <c r="BP28" s="29"/>
      <c r="BQ28" s="29"/>
      <c r="BR28" s="30"/>
      <c r="BS28" s="55"/>
      <c r="BT28" s="29"/>
      <c r="BU28" s="29"/>
      <c r="BV28" s="30"/>
      <c r="BW28" s="55"/>
      <c r="BX28" s="29"/>
      <c r="BY28" s="29"/>
      <c r="BZ28" s="30"/>
      <c r="CA28" s="31"/>
    </row>
    <row r="29" spans="1:79" hidden="1">
      <c r="B29" s="297"/>
      <c r="C29" s="307" t="s">
        <v>467</v>
      </c>
      <c r="D29" s="299" t="str">
        <f t="shared" si="7"/>
        <v xml:space="preserve"> 973</v>
      </c>
      <c r="E29" s="308" t="s">
        <v>467</v>
      </c>
      <c r="F29" s="301">
        <f t="shared" si="8"/>
        <v>0</v>
      </c>
      <c r="G29" s="302" t="s">
        <v>35</v>
      </c>
      <c r="H29" s="302" t="s">
        <v>1072</v>
      </c>
      <c r="I29" s="302" t="s">
        <v>1097</v>
      </c>
      <c r="J29" s="313">
        <f t="shared" si="14"/>
        <v>58000</v>
      </c>
      <c r="K29" s="312">
        <f t="shared" si="0"/>
        <v>0</v>
      </c>
      <c r="L29" s="314" t="s">
        <v>67</v>
      </c>
      <c r="M29" s="315">
        <v>58000</v>
      </c>
      <c r="N29" s="305">
        <v>6650</v>
      </c>
      <c r="O29" s="306">
        <f t="shared" si="11"/>
        <v>64650</v>
      </c>
      <c r="P29" s="295"/>
      <c r="Q29" s="292" t="s">
        <v>1149</v>
      </c>
      <c r="R29" s="22"/>
      <c r="S29" s="22">
        <f t="shared" si="2"/>
        <v>64650</v>
      </c>
      <c r="T29" s="22">
        <f t="shared" si="3"/>
        <v>92357.14285714287</v>
      </c>
      <c r="U29" s="23">
        <f t="shared" si="4"/>
        <v>105551.02040816328</v>
      </c>
      <c r="V29" s="24">
        <f t="shared" si="5"/>
        <v>0.12500000000000003</v>
      </c>
      <c r="W29" s="23">
        <f t="shared" si="12"/>
        <v>105600</v>
      </c>
      <c r="X29" s="164">
        <f t="shared" si="6"/>
        <v>0.3000000000000001</v>
      </c>
      <c r="Y29" s="253">
        <v>110000</v>
      </c>
      <c r="Z29" s="188">
        <f>T29-Y29</f>
        <v>-17642.85714285713</v>
      </c>
      <c r="AA29" s="189">
        <f>Z29/Y29</f>
        <v>-0.16038961038961028</v>
      </c>
      <c r="AB29" s="34"/>
      <c r="AC29" s="164"/>
      <c r="AD29" s="35"/>
      <c r="AE29" s="36"/>
      <c r="AF29" s="29"/>
      <c r="AG29" s="29"/>
      <c r="AH29" s="30"/>
      <c r="AI29" s="172" t="s">
        <v>608</v>
      </c>
      <c r="AJ29" s="29"/>
      <c r="AK29" s="29"/>
      <c r="AL29" s="30"/>
      <c r="AM29" s="172" t="s">
        <v>608</v>
      </c>
      <c r="AN29" s="29"/>
      <c r="AO29" s="29"/>
      <c r="AP29" s="30"/>
      <c r="AQ29" s="172" t="s">
        <v>608</v>
      </c>
      <c r="AR29" s="29"/>
      <c r="AS29" s="29"/>
      <c r="AT29" s="30"/>
      <c r="AU29" s="172" t="s">
        <v>608</v>
      </c>
      <c r="AV29" s="29"/>
      <c r="AW29" s="29"/>
      <c r="AX29" s="30"/>
      <c r="AY29" s="55"/>
      <c r="AZ29" s="29"/>
      <c r="BA29" s="29"/>
      <c r="BB29" s="30"/>
      <c r="BC29" s="172" t="s">
        <v>751</v>
      </c>
      <c r="BD29" s="29"/>
      <c r="BE29" s="29"/>
      <c r="BF29" s="30"/>
      <c r="BG29" s="55"/>
      <c r="BH29" s="29"/>
      <c r="BI29" s="29"/>
      <c r="BJ29" s="30"/>
      <c r="BK29" s="172" t="s">
        <v>751</v>
      </c>
      <c r="BL29" s="29"/>
      <c r="BM29" s="29"/>
      <c r="BN29" s="30"/>
      <c r="BO29" s="55"/>
      <c r="BP29" s="29"/>
      <c r="BQ29" s="29"/>
      <c r="BR29" s="30"/>
      <c r="BS29" s="55"/>
      <c r="BT29" s="29"/>
      <c r="BU29" s="29"/>
      <c r="BV29" s="30"/>
      <c r="BW29" s="55"/>
      <c r="BX29" s="29"/>
      <c r="BY29" s="29"/>
      <c r="BZ29" s="30"/>
      <c r="CA29" s="31"/>
    </row>
    <row r="30" spans="1:79" hidden="1">
      <c r="A30" s="71" t="s">
        <v>1242</v>
      </c>
      <c r="B30" s="297"/>
      <c r="C30" s="307" t="s">
        <v>897</v>
      </c>
      <c r="D30" s="299" t="str">
        <f t="shared" si="7"/>
        <v xml:space="preserve"> 207</v>
      </c>
      <c r="E30" s="308" t="s">
        <v>897</v>
      </c>
      <c r="F30" s="301">
        <f t="shared" si="8"/>
        <v>0</v>
      </c>
      <c r="G30" s="302" t="s">
        <v>1063</v>
      </c>
      <c r="H30" s="302" t="s">
        <v>292</v>
      </c>
      <c r="I30" s="302" t="s">
        <v>1098</v>
      </c>
      <c r="J30" s="303">
        <v>80000</v>
      </c>
      <c r="K30" s="312">
        <f>J30-M30</f>
        <v>6900</v>
      </c>
      <c r="L30" s="301" t="s">
        <v>69</v>
      </c>
      <c r="M30" s="305">
        <f>J30-N30</f>
        <v>73100</v>
      </c>
      <c r="N30" s="305">
        <f>2000+300+600+1000+3000</f>
        <v>6900</v>
      </c>
      <c r="O30" s="306">
        <f t="shared" si="11"/>
        <v>80000</v>
      </c>
      <c r="P30" s="294"/>
      <c r="Q30" s="292" t="s">
        <v>1150</v>
      </c>
      <c r="R30" s="22"/>
      <c r="S30" s="22">
        <f t="shared" si="2"/>
        <v>80000</v>
      </c>
      <c r="T30" s="22">
        <f t="shared" si="3"/>
        <v>114285.71428571429</v>
      </c>
      <c r="U30" s="23">
        <f t="shared" si="4"/>
        <v>130612.24489795919</v>
      </c>
      <c r="V30" s="24">
        <f t="shared" si="5"/>
        <v>0.12499999999999999</v>
      </c>
      <c r="W30" s="23">
        <f t="shared" si="12"/>
        <v>130700</v>
      </c>
      <c r="X30" s="164">
        <f t="shared" si="6"/>
        <v>0.30000000000000004</v>
      </c>
      <c r="Y30" s="25"/>
      <c r="Z30" s="25"/>
      <c r="AA30" s="25"/>
      <c r="AB30" s="34"/>
      <c r="AC30" s="164"/>
      <c r="AD30" s="35"/>
      <c r="AE30" s="36"/>
      <c r="AF30" s="29"/>
      <c r="AG30" s="29"/>
      <c r="AH30" s="30"/>
      <c r="AI30" s="55"/>
      <c r="AJ30" s="29"/>
      <c r="AK30" s="29"/>
      <c r="AL30" s="30"/>
      <c r="AM30" s="55"/>
      <c r="AN30" s="29"/>
      <c r="AO30" s="29"/>
      <c r="AP30" s="30"/>
      <c r="AQ30" s="172" t="s">
        <v>608</v>
      </c>
      <c r="AR30" s="29"/>
      <c r="AS30" s="29"/>
      <c r="AT30" s="30"/>
      <c r="AU30" s="172" t="s">
        <v>608</v>
      </c>
      <c r="AV30" s="29"/>
      <c r="AW30" s="29"/>
      <c r="AX30" s="30"/>
      <c r="AY30" s="55"/>
      <c r="AZ30" s="29"/>
      <c r="BA30" s="29"/>
      <c r="BB30" s="30"/>
      <c r="BC30" s="172" t="s">
        <v>751</v>
      </c>
      <c r="BD30" s="29"/>
      <c r="BE30" s="29"/>
      <c r="BF30" s="30"/>
      <c r="BG30" s="55"/>
      <c r="BH30" s="29"/>
      <c r="BI30" s="29"/>
      <c r="BJ30" s="30"/>
      <c r="BK30" s="55"/>
      <c r="BL30" s="29"/>
      <c r="BM30" s="29"/>
      <c r="BN30" s="30"/>
      <c r="BO30" s="55"/>
      <c r="BP30" s="29"/>
      <c r="BQ30" s="29"/>
      <c r="BR30" s="30"/>
      <c r="BS30" s="55"/>
      <c r="BT30" s="29"/>
      <c r="BU30" s="29"/>
      <c r="BV30" s="30"/>
      <c r="BW30" s="55"/>
      <c r="BX30" s="29"/>
      <c r="BY30" s="29"/>
      <c r="BZ30" s="30"/>
      <c r="CA30" s="31"/>
    </row>
    <row r="31" spans="1:79" hidden="1">
      <c r="A31" s="71" t="s">
        <v>1242</v>
      </c>
      <c r="B31" s="297"/>
      <c r="C31" s="307" t="s">
        <v>898</v>
      </c>
      <c r="D31" s="299" t="str">
        <f t="shared" si="7"/>
        <v xml:space="preserve"> 913</v>
      </c>
      <c r="E31" s="308" t="s">
        <v>898</v>
      </c>
      <c r="F31" s="301">
        <f t="shared" si="8"/>
        <v>0</v>
      </c>
      <c r="G31" s="302" t="s">
        <v>1063</v>
      </c>
      <c r="H31" s="302" t="s">
        <v>292</v>
      </c>
      <c r="I31" s="302" t="s">
        <v>1098</v>
      </c>
      <c r="J31" s="303">
        <v>75000</v>
      </c>
      <c r="K31" s="312">
        <f t="shared" si="0"/>
        <v>6900</v>
      </c>
      <c r="L31" s="301" t="s">
        <v>69</v>
      </c>
      <c r="M31" s="305">
        <f t="shared" ref="M31:M94" si="15">J31-N31</f>
        <v>68100</v>
      </c>
      <c r="N31" s="305">
        <f>2000+300+600+1000+3000</f>
        <v>6900</v>
      </c>
      <c r="O31" s="306">
        <f t="shared" si="11"/>
        <v>75000</v>
      </c>
      <c r="P31" s="295"/>
      <c r="Q31" s="292" t="s">
        <v>1150</v>
      </c>
      <c r="R31" s="22"/>
      <c r="S31" s="22">
        <f t="shared" si="2"/>
        <v>75000</v>
      </c>
      <c r="T31" s="22">
        <f t="shared" si="3"/>
        <v>107142.85714285714</v>
      </c>
      <c r="U31" s="23">
        <f t="shared" si="4"/>
        <v>122448.97959183673</v>
      </c>
      <c r="V31" s="24">
        <f t="shared" si="5"/>
        <v>0.12499999999999996</v>
      </c>
      <c r="W31" s="23">
        <f t="shared" si="12"/>
        <v>122500</v>
      </c>
      <c r="X31" s="164">
        <f t="shared" si="6"/>
        <v>0.3</v>
      </c>
      <c r="Y31" s="253">
        <v>110000</v>
      </c>
      <c r="Z31" s="188">
        <f>T31-Y31</f>
        <v>-2857.1428571428551</v>
      </c>
      <c r="AA31" s="189">
        <f>Z31/Y31</f>
        <v>-2.5974025974025955E-2</v>
      </c>
      <c r="AB31" s="34"/>
      <c r="AC31" s="164"/>
      <c r="AD31" s="35"/>
      <c r="AE31" s="36"/>
      <c r="AF31" s="29"/>
      <c r="AG31" s="29"/>
      <c r="AH31" s="30"/>
      <c r="AI31" s="172" t="s">
        <v>608</v>
      </c>
      <c r="AJ31" s="29"/>
      <c r="AK31" s="29"/>
      <c r="AL31" s="30"/>
      <c r="AM31" s="172" t="s">
        <v>608</v>
      </c>
      <c r="AN31" s="29"/>
      <c r="AO31" s="29"/>
      <c r="AP31" s="30"/>
      <c r="AQ31" s="172" t="s">
        <v>608</v>
      </c>
      <c r="AR31" s="29"/>
      <c r="AS31" s="29"/>
      <c r="AT31" s="30"/>
      <c r="AU31" s="172" t="s">
        <v>608</v>
      </c>
      <c r="AV31" s="29"/>
      <c r="AW31" s="29"/>
      <c r="AX31" s="30"/>
      <c r="AY31" s="55"/>
      <c r="AZ31" s="29"/>
      <c r="BA31" s="29"/>
      <c r="BB31" s="30"/>
      <c r="BC31" s="172" t="s">
        <v>751</v>
      </c>
      <c r="BD31" s="29"/>
      <c r="BE31" s="29"/>
      <c r="BF31" s="30"/>
      <c r="BG31" s="55"/>
      <c r="BH31" s="29"/>
      <c r="BI31" s="29"/>
      <c r="BJ31" s="30"/>
      <c r="BK31" s="172" t="s">
        <v>751</v>
      </c>
      <c r="BL31" s="29"/>
      <c r="BM31" s="29"/>
      <c r="BN31" s="30"/>
      <c r="BO31" s="55"/>
      <c r="BP31" s="29"/>
      <c r="BQ31" s="29"/>
      <c r="BR31" s="30"/>
      <c r="BS31" s="55"/>
      <c r="BT31" s="29"/>
      <c r="BU31" s="29"/>
      <c r="BV31" s="30"/>
      <c r="BW31" s="55"/>
      <c r="BX31" s="29"/>
      <c r="BY31" s="29"/>
      <c r="BZ31" s="30"/>
      <c r="CA31" s="31"/>
    </row>
    <row r="32" spans="1:79" hidden="1">
      <c r="A32" s="71" t="s">
        <v>1242</v>
      </c>
      <c r="B32" s="297"/>
      <c r="C32" s="307" t="s">
        <v>899</v>
      </c>
      <c r="D32" s="299" t="str">
        <f t="shared" si="7"/>
        <v xml:space="preserve"> 949</v>
      </c>
      <c r="E32" s="308" t="s">
        <v>899</v>
      </c>
      <c r="F32" s="301">
        <f t="shared" si="8"/>
        <v>0</v>
      </c>
      <c r="G32" s="302" t="s">
        <v>1063</v>
      </c>
      <c r="H32" s="302" t="s">
        <v>292</v>
      </c>
      <c r="I32" s="302" t="s">
        <v>1098</v>
      </c>
      <c r="J32" s="303">
        <v>82000</v>
      </c>
      <c r="K32" s="312">
        <f t="shared" si="0"/>
        <v>5900</v>
      </c>
      <c r="L32" s="301" t="s">
        <v>69</v>
      </c>
      <c r="M32" s="305">
        <f t="shared" si="15"/>
        <v>76100</v>
      </c>
      <c r="N32" s="305">
        <f>2000+300+600+3000</f>
        <v>5900</v>
      </c>
      <c r="O32" s="306">
        <f>M32+N32</f>
        <v>82000</v>
      </c>
      <c r="P32" s="295"/>
      <c r="Q32" s="292" t="s">
        <v>1151</v>
      </c>
      <c r="R32" s="22"/>
      <c r="S32" s="22">
        <f t="shared" si="2"/>
        <v>82000</v>
      </c>
      <c r="T32" s="22">
        <f>S32/0.7</f>
        <v>117142.85714285714</v>
      </c>
      <c r="U32" s="23">
        <f>T32/0.875</f>
        <v>133877.55102040817</v>
      </c>
      <c r="V32" s="24">
        <f>(U32-T32)/U32</f>
        <v>0.125</v>
      </c>
      <c r="W32" s="23">
        <f t="shared" si="12"/>
        <v>133900</v>
      </c>
      <c r="X32" s="164">
        <f t="shared" si="6"/>
        <v>0.3</v>
      </c>
      <c r="Y32" s="25"/>
      <c r="Z32" s="25"/>
      <c r="AA32" s="25"/>
      <c r="AB32" s="34"/>
      <c r="AC32" s="164"/>
      <c r="AD32" s="35"/>
      <c r="AE32" s="36"/>
      <c r="AF32" s="29"/>
      <c r="AG32" s="29"/>
      <c r="AH32" s="30"/>
      <c r="AI32" s="172" t="s">
        <v>608</v>
      </c>
      <c r="AJ32" s="29"/>
      <c r="AK32" s="29"/>
      <c r="AL32" s="30"/>
      <c r="AM32" s="172" t="s">
        <v>608</v>
      </c>
      <c r="AN32" s="29"/>
      <c r="AO32" s="29"/>
      <c r="AP32" s="30"/>
      <c r="AQ32" s="172" t="s">
        <v>608</v>
      </c>
      <c r="AR32" s="29"/>
      <c r="AS32" s="29"/>
      <c r="AT32" s="30"/>
      <c r="AU32" s="172" t="s">
        <v>608</v>
      </c>
      <c r="AV32" s="29"/>
      <c r="AW32" s="29"/>
      <c r="AX32" s="30"/>
      <c r="AY32" s="55"/>
      <c r="AZ32" s="29"/>
      <c r="BA32" s="29"/>
      <c r="BB32" s="30"/>
      <c r="BC32" s="172" t="s">
        <v>751</v>
      </c>
      <c r="BD32" s="29"/>
      <c r="BE32" s="29"/>
      <c r="BF32" s="30"/>
      <c r="BG32" s="55"/>
      <c r="BH32" s="29"/>
      <c r="BI32" s="29"/>
      <c r="BJ32" s="30"/>
      <c r="BK32" s="55"/>
      <c r="BL32" s="29"/>
      <c r="BM32" s="29"/>
      <c r="BN32" s="30"/>
      <c r="BO32" s="55"/>
      <c r="BP32" s="29"/>
      <c r="BQ32" s="29"/>
      <c r="BR32" s="30"/>
      <c r="BS32" s="55"/>
      <c r="BT32" s="29"/>
      <c r="BU32" s="29"/>
      <c r="BV32" s="30"/>
      <c r="BW32" s="55"/>
      <c r="BX32" s="29"/>
      <c r="BY32" s="29"/>
      <c r="BZ32" s="30"/>
      <c r="CA32" s="31"/>
    </row>
    <row r="33" spans="1:79" hidden="1">
      <c r="A33" s="71" t="s">
        <v>1242</v>
      </c>
      <c r="B33" s="297"/>
      <c r="C33" s="307" t="s">
        <v>900</v>
      </c>
      <c r="D33" s="299" t="str">
        <f t="shared" si="7"/>
        <v xml:space="preserve"> 403</v>
      </c>
      <c r="E33" s="308" t="s">
        <v>900</v>
      </c>
      <c r="F33" s="301">
        <f t="shared" si="8"/>
        <v>0</v>
      </c>
      <c r="G33" s="302" t="s">
        <v>1063</v>
      </c>
      <c r="H33" s="302" t="s">
        <v>292</v>
      </c>
      <c r="I33" s="302" t="s">
        <v>1098</v>
      </c>
      <c r="J33" s="303">
        <v>82000</v>
      </c>
      <c r="K33" s="312">
        <f t="shared" si="0"/>
        <v>6550</v>
      </c>
      <c r="L33" s="301" t="s">
        <v>69</v>
      </c>
      <c r="M33" s="305">
        <f t="shared" si="15"/>
        <v>75450</v>
      </c>
      <c r="N33" s="305">
        <f>2000+300+600+650+3000</f>
        <v>6550</v>
      </c>
      <c r="O33" s="306">
        <f t="shared" si="11"/>
        <v>82000</v>
      </c>
      <c r="P33" s="295"/>
      <c r="Q33" s="292" t="s">
        <v>1152</v>
      </c>
      <c r="R33" s="22"/>
      <c r="S33" s="22">
        <f t="shared" si="2"/>
        <v>82000</v>
      </c>
      <c r="T33" s="22">
        <f t="shared" si="3"/>
        <v>117142.85714285714</v>
      </c>
      <c r="U33" s="23">
        <f t="shared" si="4"/>
        <v>133877.55102040817</v>
      </c>
      <c r="V33" s="24">
        <f t="shared" si="5"/>
        <v>0.125</v>
      </c>
      <c r="W33" s="23">
        <f t="shared" si="12"/>
        <v>133900</v>
      </c>
      <c r="X33" s="164">
        <f t="shared" si="6"/>
        <v>0.3</v>
      </c>
      <c r="Y33" s="25"/>
      <c r="Z33" s="25"/>
      <c r="AA33" s="25"/>
      <c r="AB33" s="34"/>
      <c r="AC33" s="164"/>
      <c r="AD33" s="35"/>
      <c r="AE33" s="36"/>
      <c r="AF33" s="29"/>
      <c r="AG33" s="29"/>
      <c r="AH33" s="30"/>
      <c r="AI33" s="55"/>
      <c r="AJ33" s="29"/>
      <c r="AK33" s="29"/>
      <c r="AL33" s="30"/>
      <c r="AM33" s="55"/>
      <c r="AN33" s="29"/>
      <c r="AO33" s="29"/>
      <c r="AP33" s="30"/>
      <c r="AQ33" s="172" t="s">
        <v>608</v>
      </c>
      <c r="AR33" s="29"/>
      <c r="AS33" s="29"/>
      <c r="AT33" s="30"/>
      <c r="AU33" s="172" t="s">
        <v>608</v>
      </c>
      <c r="AV33" s="29"/>
      <c r="AW33" s="29"/>
      <c r="AX33" s="30"/>
      <c r="AY33" s="55"/>
      <c r="AZ33" s="29"/>
      <c r="BA33" s="29"/>
      <c r="BB33" s="30"/>
      <c r="BC33" s="172" t="s">
        <v>751</v>
      </c>
      <c r="BD33" s="29"/>
      <c r="BE33" s="29"/>
      <c r="BF33" s="30"/>
      <c r="BG33" s="55"/>
      <c r="BH33" s="29"/>
      <c r="BI33" s="29"/>
      <c r="BJ33" s="30"/>
      <c r="BK33" s="55"/>
      <c r="BL33" s="29"/>
      <c r="BM33" s="29"/>
      <c r="BN33" s="30"/>
      <c r="BO33" s="55"/>
      <c r="BP33" s="29"/>
      <c r="BQ33" s="29"/>
      <c r="BR33" s="30"/>
      <c r="BS33" s="55"/>
      <c r="BT33" s="29"/>
      <c r="BU33" s="29"/>
      <c r="BV33" s="30"/>
      <c r="BW33" s="55"/>
      <c r="BX33" s="29"/>
      <c r="BY33" s="29"/>
      <c r="BZ33" s="30"/>
      <c r="CA33" s="31"/>
    </row>
    <row r="34" spans="1:79" hidden="1">
      <c r="A34" s="71" t="s">
        <v>1242</v>
      </c>
      <c r="B34" s="297"/>
      <c r="C34" s="307" t="s">
        <v>901</v>
      </c>
      <c r="D34" s="299" t="str">
        <f t="shared" si="7"/>
        <v xml:space="preserve"> 187</v>
      </c>
      <c r="E34" s="308" t="s">
        <v>901</v>
      </c>
      <c r="F34" s="301">
        <f t="shared" si="8"/>
        <v>0</v>
      </c>
      <c r="G34" s="302" t="s">
        <v>1063</v>
      </c>
      <c r="H34" s="302" t="s">
        <v>373</v>
      </c>
      <c r="I34" s="302" t="s">
        <v>1099</v>
      </c>
      <c r="J34" s="303">
        <v>40900</v>
      </c>
      <c r="K34" s="304">
        <f t="shared" si="0"/>
        <v>5900</v>
      </c>
      <c r="L34" s="301" t="s">
        <v>69</v>
      </c>
      <c r="M34" s="305">
        <f t="shared" si="15"/>
        <v>35000</v>
      </c>
      <c r="N34" s="305">
        <f>2000+300+600+1000+2000</f>
        <v>5900</v>
      </c>
      <c r="O34" s="306">
        <f t="shared" si="11"/>
        <v>40900</v>
      </c>
      <c r="P34" s="293"/>
      <c r="Q34" s="292" t="s">
        <v>1153</v>
      </c>
      <c r="R34" s="22"/>
      <c r="S34" s="22">
        <f t="shared" si="2"/>
        <v>40900</v>
      </c>
      <c r="T34" s="22">
        <f t="shared" si="3"/>
        <v>58428.571428571435</v>
      </c>
      <c r="U34" s="23">
        <f t="shared" si="4"/>
        <v>66775.510204081642</v>
      </c>
      <c r="V34" s="24">
        <f t="shared" si="5"/>
        <v>0.12500000000000003</v>
      </c>
      <c r="W34" s="23">
        <f t="shared" si="12"/>
        <v>66800</v>
      </c>
      <c r="X34" s="164">
        <f t="shared" si="6"/>
        <v>0.3000000000000001</v>
      </c>
      <c r="Y34" s="25"/>
      <c r="Z34" s="25"/>
      <c r="AA34" s="25"/>
      <c r="AB34" s="34"/>
      <c r="AC34" s="164"/>
      <c r="AD34" s="35"/>
      <c r="AE34" s="36"/>
      <c r="AF34" s="29"/>
      <c r="AG34" s="29"/>
      <c r="AH34" s="30"/>
      <c r="AI34" s="55"/>
      <c r="AJ34" s="29"/>
      <c r="AK34" s="29"/>
      <c r="AL34" s="30"/>
      <c r="AM34" s="55"/>
      <c r="AN34" s="29"/>
      <c r="AO34" s="29"/>
      <c r="AP34" s="30"/>
      <c r="AQ34" s="172" t="s">
        <v>608</v>
      </c>
      <c r="AR34" s="29"/>
      <c r="AS34" s="29"/>
      <c r="AT34" s="30"/>
      <c r="AU34" s="172" t="s">
        <v>608</v>
      </c>
      <c r="AV34" s="29"/>
      <c r="AW34" s="29"/>
      <c r="AX34" s="30"/>
      <c r="AY34" s="55"/>
      <c r="AZ34" s="29"/>
      <c r="BA34" s="29"/>
      <c r="BB34" s="30"/>
      <c r="BC34" s="172" t="s">
        <v>751</v>
      </c>
      <c r="BD34" s="29"/>
      <c r="BE34" s="29"/>
      <c r="BF34" s="30"/>
      <c r="BG34" s="55"/>
      <c r="BH34" s="29"/>
      <c r="BI34" s="29"/>
      <c r="BJ34" s="30"/>
      <c r="BK34" s="55"/>
      <c r="BL34" s="29"/>
      <c r="BM34" s="29"/>
      <c r="BN34" s="30"/>
      <c r="BO34" s="55"/>
      <c r="BP34" s="29"/>
      <c r="BQ34" s="29"/>
      <c r="BR34" s="30"/>
      <c r="BS34" s="55"/>
      <c r="BT34" s="29"/>
      <c r="BU34" s="29"/>
      <c r="BV34" s="30"/>
      <c r="BW34" s="31"/>
      <c r="BX34" s="29"/>
      <c r="BY34" s="29"/>
      <c r="BZ34" s="30"/>
      <c r="CA34" s="31"/>
    </row>
    <row r="35" spans="1:79" hidden="1">
      <c r="A35" s="71" t="s">
        <v>1242</v>
      </c>
      <c r="B35" s="297"/>
      <c r="C35" s="307" t="s">
        <v>902</v>
      </c>
      <c r="D35" s="299" t="str">
        <f t="shared" si="7"/>
        <v xml:space="preserve"> 763</v>
      </c>
      <c r="E35" s="308" t="s">
        <v>902</v>
      </c>
      <c r="F35" s="301">
        <f t="shared" si="8"/>
        <v>0</v>
      </c>
      <c r="G35" s="302" t="s">
        <v>1063</v>
      </c>
      <c r="H35" s="302" t="s">
        <v>373</v>
      </c>
      <c r="I35" s="302" t="s">
        <v>1099</v>
      </c>
      <c r="J35" s="303">
        <v>41900</v>
      </c>
      <c r="K35" s="312">
        <f t="shared" si="0"/>
        <v>5900</v>
      </c>
      <c r="L35" s="301" t="s">
        <v>69</v>
      </c>
      <c r="M35" s="305">
        <f t="shared" si="15"/>
        <v>36000</v>
      </c>
      <c r="N35" s="305">
        <f>2000+300+600+1000+2000</f>
        <v>5900</v>
      </c>
      <c r="O35" s="306">
        <f t="shared" si="11"/>
        <v>41900</v>
      </c>
      <c r="P35" s="295"/>
      <c r="Q35" s="292" t="s">
        <v>1153</v>
      </c>
      <c r="R35" s="22"/>
      <c r="S35" s="22">
        <f t="shared" si="2"/>
        <v>41900</v>
      </c>
      <c r="T35" s="22">
        <f t="shared" si="3"/>
        <v>59857.142857142862</v>
      </c>
      <c r="U35" s="23">
        <f t="shared" si="4"/>
        <v>68408.163265306124</v>
      </c>
      <c r="V35" s="24">
        <f t="shared" si="5"/>
        <v>0.12499999999999994</v>
      </c>
      <c r="W35" s="23">
        <f t="shared" si="12"/>
        <v>68500</v>
      </c>
      <c r="X35" s="164">
        <f t="shared" si="6"/>
        <v>0.30000000000000004</v>
      </c>
      <c r="Y35" s="253">
        <v>111429</v>
      </c>
      <c r="Z35" s="188">
        <f>T35-Y35</f>
        <v>-51571.857142857138</v>
      </c>
      <c r="AA35" s="189">
        <f>Z35/Y35</f>
        <v>-0.46282257888751704</v>
      </c>
      <c r="AB35" s="34"/>
      <c r="AC35" s="164"/>
      <c r="AD35" s="35"/>
      <c r="AE35" s="36"/>
      <c r="AF35" s="29"/>
      <c r="AG35" s="29"/>
      <c r="AH35" s="30"/>
      <c r="AI35" s="55"/>
      <c r="AJ35" s="29"/>
      <c r="AK35" s="29"/>
      <c r="AL35" s="30"/>
      <c r="AM35" s="55"/>
      <c r="AN35" s="29"/>
      <c r="AO35" s="29"/>
      <c r="AP35" s="30"/>
      <c r="AQ35" s="172" t="s">
        <v>608</v>
      </c>
      <c r="AR35" s="29"/>
      <c r="AS35" s="29"/>
      <c r="AT35" s="30"/>
      <c r="AU35" s="172" t="s">
        <v>608</v>
      </c>
      <c r="AV35" s="29"/>
      <c r="AW35" s="29"/>
      <c r="AX35" s="30"/>
      <c r="AY35" s="55"/>
      <c r="AZ35" s="29"/>
      <c r="BA35" s="29"/>
      <c r="BB35" s="30"/>
      <c r="BC35" s="172" t="s">
        <v>751</v>
      </c>
      <c r="BD35" s="29"/>
      <c r="BE35" s="29"/>
      <c r="BF35" s="30"/>
      <c r="BG35" s="55"/>
      <c r="BH35" s="29"/>
      <c r="BI35" s="29"/>
      <c r="BJ35" s="30"/>
      <c r="BK35" s="55"/>
      <c r="BL35" s="29"/>
      <c r="BM35" s="29"/>
      <c r="BN35" s="30"/>
      <c r="BO35" s="55"/>
      <c r="BP35" s="29"/>
      <c r="BQ35" s="29"/>
      <c r="BR35" s="30"/>
      <c r="BS35" s="55"/>
      <c r="BT35" s="29"/>
      <c r="BU35" s="29"/>
      <c r="BV35" s="30"/>
      <c r="BW35" s="55"/>
      <c r="BX35" s="29"/>
      <c r="BY35" s="29"/>
      <c r="BZ35" s="30"/>
      <c r="CA35" s="31"/>
    </row>
    <row r="36" spans="1:79" hidden="1">
      <c r="A36" s="71" t="s">
        <v>1242</v>
      </c>
      <c r="B36" s="297"/>
      <c r="C36" s="307" t="s">
        <v>462</v>
      </c>
      <c r="D36" s="299" t="str">
        <f t="shared" si="7"/>
        <v xml:space="preserve"> 611</v>
      </c>
      <c r="E36" s="308" t="s">
        <v>462</v>
      </c>
      <c r="F36" s="301">
        <f t="shared" si="8"/>
        <v>0</v>
      </c>
      <c r="G36" s="302" t="s">
        <v>35</v>
      </c>
      <c r="H36" s="302" t="s">
        <v>1074</v>
      </c>
      <c r="I36" s="302" t="s">
        <v>1099</v>
      </c>
      <c r="J36" s="303">
        <v>25000</v>
      </c>
      <c r="K36" s="312">
        <f t="shared" si="0"/>
        <v>5100</v>
      </c>
      <c r="L36" s="301" t="s">
        <v>69</v>
      </c>
      <c r="M36" s="305">
        <f t="shared" si="15"/>
        <v>19900</v>
      </c>
      <c r="N36" s="305">
        <f>2000+200+600+1650+650</f>
        <v>5100</v>
      </c>
      <c r="O36" s="306">
        <f t="shared" si="11"/>
        <v>25000</v>
      </c>
      <c r="P36" s="294"/>
      <c r="Q36" s="292" t="s">
        <v>1154</v>
      </c>
      <c r="R36" s="22"/>
      <c r="S36" s="22">
        <f t="shared" si="2"/>
        <v>25000</v>
      </c>
      <c r="T36" s="22">
        <f t="shared" si="3"/>
        <v>35714.285714285717</v>
      </c>
      <c r="U36" s="23">
        <f t="shared" si="4"/>
        <v>40816.326530612248</v>
      </c>
      <c r="V36" s="24">
        <f t="shared" si="5"/>
        <v>0.125</v>
      </c>
      <c r="W36" s="23">
        <f t="shared" si="12"/>
        <v>40900</v>
      </c>
      <c r="X36" s="344">
        <f t="shared" si="6"/>
        <v>0.30000000000000004</v>
      </c>
      <c r="Y36" s="25"/>
      <c r="Z36" s="25"/>
      <c r="AA36" s="25"/>
      <c r="AB36" s="34"/>
      <c r="AC36" s="26"/>
      <c r="AD36" s="35"/>
      <c r="AE36" s="36"/>
      <c r="AF36" s="29"/>
      <c r="AG36" s="29"/>
      <c r="AH36" s="30"/>
      <c r="AI36" s="55"/>
      <c r="AJ36" s="29"/>
      <c r="AK36" s="29"/>
      <c r="AL36" s="30"/>
      <c r="AM36" s="55"/>
      <c r="AN36" s="29"/>
      <c r="AO36" s="29"/>
      <c r="AP36" s="30"/>
      <c r="AQ36" s="55"/>
      <c r="AR36" s="29"/>
      <c r="AS36" s="29"/>
      <c r="AT36" s="30"/>
      <c r="AU36" s="55"/>
      <c r="AV36" s="29"/>
      <c r="AW36" s="29"/>
      <c r="AX36" s="30"/>
      <c r="AY36" s="55"/>
      <c r="AZ36" s="29"/>
      <c r="BA36" s="29"/>
      <c r="BB36" s="30"/>
      <c r="BC36" s="55"/>
      <c r="BD36" s="29"/>
      <c r="BE36" s="29"/>
      <c r="BF36" s="30"/>
      <c r="BG36" s="55"/>
      <c r="BH36" s="29"/>
      <c r="BI36" s="29"/>
      <c r="BJ36" s="30"/>
      <c r="BK36" s="55"/>
      <c r="BL36" s="29"/>
      <c r="BM36" s="29"/>
      <c r="BN36" s="30"/>
      <c r="BO36" s="55"/>
      <c r="BP36" s="29"/>
      <c r="BQ36" s="29"/>
      <c r="BR36" s="30"/>
      <c r="BS36" s="55"/>
      <c r="BT36" s="29"/>
      <c r="BU36" s="29"/>
      <c r="BV36" s="30"/>
      <c r="BW36" s="55"/>
      <c r="BX36" s="29"/>
      <c r="BY36" s="29"/>
      <c r="BZ36" s="30"/>
      <c r="CA36" s="31"/>
    </row>
    <row r="37" spans="1:79" hidden="1">
      <c r="A37" s="71" t="s">
        <v>1242</v>
      </c>
      <c r="B37" s="297"/>
      <c r="C37" s="307" t="s">
        <v>1241</v>
      </c>
      <c r="D37" s="299" t="str">
        <f t="shared" si="7"/>
        <v xml:space="preserve"> 251</v>
      </c>
      <c r="E37" s="309" t="s">
        <v>1241</v>
      </c>
      <c r="F37" s="301">
        <f t="shared" si="8"/>
        <v>0</v>
      </c>
      <c r="G37" s="302" t="s">
        <v>35</v>
      </c>
      <c r="H37" s="302" t="s">
        <v>1074</v>
      </c>
      <c r="I37" s="302" t="s">
        <v>1099</v>
      </c>
      <c r="J37" s="303">
        <v>26000</v>
      </c>
      <c r="K37" s="312">
        <f t="shared" si="0"/>
        <v>5100</v>
      </c>
      <c r="L37" s="301" t="s">
        <v>69</v>
      </c>
      <c r="M37" s="305">
        <f t="shared" si="15"/>
        <v>20900</v>
      </c>
      <c r="N37" s="305">
        <f>2000+200+600+1650+650</f>
        <v>5100</v>
      </c>
      <c r="O37" s="306">
        <f t="shared" si="11"/>
        <v>26000</v>
      </c>
      <c r="P37" s="295"/>
      <c r="Q37" s="292" t="s">
        <v>1154</v>
      </c>
      <c r="R37" s="22"/>
      <c r="S37" s="22">
        <f t="shared" si="2"/>
        <v>26000</v>
      </c>
      <c r="T37" s="22">
        <f t="shared" si="3"/>
        <v>37142.857142857145</v>
      </c>
      <c r="U37" s="23">
        <f t="shared" si="4"/>
        <v>42448.979591836738</v>
      </c>
      <c r="V37" s="24">
        <f t="shared" si="5"/>
        <v>0.12500000000000003</v>
      </c>
      <c r="W37" s="23">
        <f t="shared" si="12"/>
        <v>42500</v>
      </c>
      <c r="X37" s="164">
        <f t="shared" si="6"/>
        <v>0.30000000000000004</v>
      </c>
      <c r="Y37" s="25"/>
      <c r="Z37" s="25"/>
      <c r="AA37" s="37"/>
      <c r="AB37" s="26"/>
      <c r="AC37" s="164"/>
      <c r="AD37" s="35"/>
      <c r="AE37" s="36"/>
      <c r="AF37" s="29"/>
      <c r="AG37" s="29"/>
      <c r="AH37" s="30"/>
      <c r="AI37" s="55"/>
      <c r="AJ37" s="29"/>
      <c r="AK37" s="29"/>
      <c r="AL37" s="30"/>
      <c r="AM37" s="55"/>
      <c r="AN37" s="29"/>
      <c r="AO37" s="29"/>
      <c r="AP37" s="30"/>
      <c r="AQ37" s="172" t="s">
        <v>608</v>
      </c>
      <c r="AR37" s="29"/>
      <c r="AS37" s="29"/>
      <c r="AT37" s="30"/>
      <c r="AU37" s="172" t="s">
        <v>608</v>
      </c>
      <c r="AV37" s="29"/>
      <c r="AW37" s="29"/>
      <c r="AX37" s="30"/>
      <c r="AY37" s="55"/>
      <c r="AZ37" s="29"/>
      <c r="BA37" s="29"/>
      <c r="BB37" s="30"/>
      <c r="BC37" s="172" t="s">
        <v>751</v>
      </c>
      <c r="BD37" s="29"/>
      <c r="BE37" s="29"/>
      <c r="BF37" s="30"/>
      <c r="BG37" s="55"/>
      <c r="BH37" s="29"/>
      <c r="BI37" s="29"/>
      <c r="BJ37" s="30"/>
      <c r="BK37" s="55"/>
      <c r="BL37" s="29"/>
      <c r="BM37" s="29"/>
      <c r="BN37" s="30"/>
      <c r="BO37" s="55"/>
      <c r="BP37" s="29"/>
      <c r="BQ37" s="29"/>
      <c r="BR37" s="30"/>
      <c r="BS37" s="55"/>
      <c r="BT37" s="29"/>
      <c r="BU37" s="29"/>
      <c r="BV37" s="30"/>
      <c r="BW37" s="55"/>
      <c r="BX37" s="29"/>
      <c r="BY37" s="29"/>
      <c r="BZ37" s="30"/>
      <c r="CA37" s="31"/>
    </row>
    <row r="38" spans="1:79" hidden="1">
      <c r="B38" s="297"/>
      <c r="C38" s="307" t="s">
        <v>903</v>
      </c>
      <c r="D38" s="299" t="str">
        <f t="shared" si="7"/>
        <v xml:space="preserve"> 580</v>
      </c>
      <c r="E38" s="308" t="s">
        <v>903</v>
      </c>
      <c r="F38" s="301">
        <f t="shared" si="8"/>
        <v>0</v>
      </c>
      <c r="G38" s="302" t="s">
        <v>1063</v>
      </c>
      <c r="H38" s="302" t="s">
        <v>373</v>
      </c>
      <c r="I38" s="302" t="s">
        <v>1100</v>
      </c>
      <c r="J38" s="303">
        <v>30000</v>
      </c>
      <c r="K38" s="312">
        <f t="shared" si="0"/>
        <v>5900</v>
      </c>
      <c r="L38" s="301" t="s">
        <v>69</v>
      </c>
      <c r="M38" s="305">
        <f t="shared" si="15"/>
        <v>24100</v>
      </c>
      <c r="N38" s="305">
        <v>5900</v>
      </c>
      <c r="O38" s="306">
        <f t="shared" si="11"/>
        <v>30000</v>
      </c>
      <c r="P38" s="295"/>
      <c r="Q38" s="292" t="s">
        <v>1153</v>
      </c>
      <c r="R38" s="22"/>
      <c r="S38" s="22">
        <f t="shared" si="2"/>
        <v>30000</v>
      </c>
      <c r="T38" s="22">
        <f t="shared" si="3"/>
        <v>42857.142857142862</v>
      </c>
      <c r="U38" s="23">
        <f t="shared" si="4"/>
        <v>48979.591836734697</v>
      </c>
      <c r="V38" s="24">
        <f t="shared" si="5"/>
        <v>0.12499999999999994</v>
      </c>
      <c r="W38" s="23">
        <f t="shared" si="12"/>
        <v>49000</v>
      </c>
      <c r="X38" s="164">
        <f t="shared" si="6"/>
        <v>0.3000000000000001</v>
      </c>
      <c r="Y38" s="25"/>
      <c r="Z38" s="25"/>
      <c r="AA38" s="37"/>
      <c r="AB38" s="26"/>
      <c r="AC38" s="164"/>
      <c r="AD38" s="42"/>
      <c r="AE38" s="43"/>
      <c r="AF38" s="29"/>
      <c r="AG38" s="29"/>
      <c r="AH38" s="29"/>
      <c r="AI38" s="172" t="s">
        <v>608</v>
      </c>
      <c r="AJ38" s="29"/>
      <c r="AK38" s="29"/>
      <c r="AL38" s="29"/>
      <c r="AM38" s="172" t="s">
        <v>608</v>
      </c>
      <c r="AN38" s="29"/>
      <c r="AO38" s="29"/>
      <c r="AP38" s="29"/>
      <c r="AQ38" s="172" t="s">
        <v>608</v>
      </c>
      <c r="AR38" s="29"/>
      <c r="AS38" s="29"/>
      <c r="AT38" s="29"/>
      <c r="AU38" s="172" t="s">
        <v>608</v>
      </c>
      <c r="AV38" s="29"/>
      <c r="AW38" s="29"/>
      <c r="AX38" s="29"/>
      <c r="AY38" s="55"/>
      <c r="AZ38" s="29"/>
      <c r="BA38" s="29"/>
      <c r="BB38" s="29"/>
      <c r="BC38" s="172" t="s">
        <v>751</v>
      </c>
      <c r="BD38" s="29"/>
      <c r="BE38" s="29"/>
      <c r="BF38" s="29"/>
      <c r="BG38" s="55"/>
      <c r="BH38" s="29"/>
      <c r="BI38" s="29"/>
      <c r="BJ38" s="29"/>
      <c r="BK38" s="172" t="s">
        <v>751</v>
      </c>
      <c r="BL38" s="29"/>
      <c r="BM38" s="29"/>
      <c r="BN38" s="29"/>
      <c r="BO38" s="55"/>
      <c r="BP38" s="29"/>
      <c r="BQ38" s="29"/>
      <c r="BR38" s="29"/>
      <c r="BS38" s="55"/>
      <c r="BT38" s="29"/>
      <c r="BU38" s="29"/>
      <c r="BV38" s="29"/>
      <c r="BW38" s="55"/>
      <c r="BX38" s="29"/>
      <c r="BY38" s="29"/>
      <c r="BZ38" s="29"/>
      <c r="CA38" s="29"/>
    </row>
    <row r="39" spans="1:79" hidden="1">
      <c r="B39" s="297"/>
      <c r="C39" s="307" t="s">
        <v>392</v>
      </c>
      <c r="D39" s="299" t="str">
        <f t="shared" si="7"/>
        <v xml:space="preserve"> 993</v>
      </c>
      <c r="E39" s="308" t="s">
        <v>392</v>
      </c>
      <c r="F39" s="301">
        <f t="shared" si="8"/>
        <v>0</v>
      </c>
      <c r="G39" s="302" t="s">
        <v>35</v>
      </c>
      <c r="H39" s="302" t="s">
        <v>373</v>
      </c>
      <c r="I39" s="302" t="s">
        <v>1100</v>
      </c>
      <c r="J39" s="303">
        <v>27000</v>
      </c>
      <c r="K39" s="312">
        <f t="shared" ref="K39:K70" si="16">J39-M39</f>
        <v>4900</v>
      </c>
      <c r="L39" s="301" t="s">
        <v>69</v>
      </c>
      <c r="M39" s="305">
        <f t="shared" si="15"/>
        <v>22100</v>
      </c>
      <c r="N39" s="305">
        <v>4900</v>
      </c>
      <c r="O39" s="306">
        <f t="shared" ref="O39:O71" si="17">M39+N39</f>
        <v>27000</v>
      </c>
      <c r="P39" s="294"/>
      <c r="Q39" s="292" t="s">
        <v>1155</v>
      </c>
      <c r="R39" s="22"/>
      <c r="S39" s="22">
        <f t="shared" si="2"/>
        <v>27000</v>
      </c>
      <c r="T39" s="22">
        <f t="shared" si="3"/>
        <v>38571.428571428572</v>
      </c>
      <c r="U39" s="23">
        <f t="shared" si="4"/>
        <v>44081.632653061228</v>
      </c>
      <c r="V39" s="24">
        <f t="shared" si="5"/>
        <v>0.12500000000000003</v>
      </c>
      <c r="W39" s="23">
        <f t="shared" si="12"/>
        <v>44100</v>
      </c>
      <c r="X39" s="164">
        <f t="shared" si="6"/>
        <v>0.30000000000000004</v>
      </c>
      <c r="Y39" s="25"/>
      <c r="Z39" s="25"/>
      <c r="AA39" s="25"/>
      <c r="AB39" s="34"/>
      <c r="AC39" s="164"/>
      <c r="AD39" s="35"/>
      <c r="AE39" s="36"/>
      <c r="AF39" s="29"/>
      <c r="AG39" s="29"/>
      <c r="AH39" s="30"/>
      <c r="AI39" s="172" t="s">
        <v>608</v>
      </c>
      <c r="AJ39" s="29"/>
      <c r="AK39" s="29"/>
      <c r="AL39" s="30"/>
      <c r="AM39" s="172" t="s">
        <v>608</v>
      </c>
      <c r="AN39" s="29"/>
      <c r="AO39" s="29"/>
      <c r="AP39" s="30"/>
      <c r="AQ39" s="172" t="s">
        <v>608</v>
      </c>
      <c r="AR39" s="29"/>
      <c r="AS39" s="29"/>
      <c r="AT39" s="30"/>
      <c r="AU39" s="172" t="s">
        <v>608</v>
      </c>
      <c r="AV39" s="29"/>
      <c r="AW39" s="29"/>
      <c r="AX39" s="30"/>
      <c r="AY39" s="55"/>
      <c r="AZ39" s="29"/>
      <c r="BA39" s="29"/>
      <c r="BB39" s="30"/>
      <c r="BC39" s="172" t="s">
        <v>751</v>
      </c>
      <c r="BD39" s="29"/>
      <c r="BE39" s="29"/>
      <c r="BF39" s="30"/>
      <c r="BG39" s="55"/>
      <c r="BH39" s="29"/>
      <c r="BI39" s="29"/>
      <c r="BJ39" s="30"/>
      <c r="BK39" s="172" t="s">
        <v>751</v>
      </c>
      <c r="BL39" s="29"/>
      <c r="BM39" s="29"/>
      <c r="BN39" s="30"/>
      <c r="BO39" s="55"/>
      <c r="BP39" s="29"/>
      <c r="BQ39" s="29"/>
      <c r="BR39" s="30"/>
      <c r="BS39" s="55"/>
      <c r="BT39" s="29"/>
      <c r="BU39" s="29"/>
      <c r="BV39" s="30"/>
      <c r="BW39" s="55"/>
      <c r="BX39" s="29"/>
      <c r="BY39" s="29"/>
      <c r="BZ39" s="30"/>
      <c r="CA39" s="31"/>
    </row>
    <row r="40" spans="1:79" hidden="1">
      <c r="B40" s="297"/>
      <c r="C40" s="307" t="s">
        <v>707</v>
      </c>
      <c r="D40" s="299" t="str">
        <f t="shared" si="7"/>
        <v xml:space="preserve"> 123</v>
      </c>
      <c r="E40" s="308" t="s">
        <v>707</v>
      </c>
      <c r="F40" s="301">
        <f t="shared" si="8"/>
        <v>0</v>
      </c>
      <c r="G40" s="302" t="s">
        <v>35</v>
      </c>
      <c r="H40" s="302" t="s">
        <v>373</v>
      </c>
      <c r="I40" s="302" t="s">
        <v>1100</v>
      </c>
      <c r="J40" s="303">
        <v>27550</v>
      </c>
      <c r="K40" s="312">
        <f t="shared" si="16"/>
        <v>4900</v>
      </c>
      <c r="L40" s="301" t="s">
        <v>69</v>
      </c>
      <c r="M40" s="305">
        <f t="shared" si="15"/>
        <v>22650</v>
      </c>
      <c r="N40" s="305">
        <v>4900</v>
      </c>
      <c r="O40" s="306">
        <f t="shared" si="17"/>
        <v>27550</v>
      </c>
      <c r="P40" s="295"/>
      <c r="Q40" s="292" t="s">
        <v>1155</v>
      </c>
      <c r="R40" s="22"/>
      <c r="S40" s="22">
        <f t="shared" si="2"/>
        <v>27550</v>
      </c>
      <c r="T40" s="22">
        <f t="shared" si="3"/>
        <v>39357.142857142862</v>
      </c>
      <c r="U40" s="23">
        <f t="shared" si="4"/>
        <v>44979.591836734697</v>
      </c>
      <c r="V40" s="24">
        <f t="shared" si="5"/>
        <v>0.12499999999999994</v>
      </c>
      <c r="W40" s="23">
        <f t="shared" si="12"/>
        <v>45000</v>
      </c>
      <c r="X40" s="164">
        <f t="shared" si="6"/>
        <v>0.3000000000000001</v>
      </c>
      <c r="Y40" s="25"/>
      <c r="Z40" s="25"/>
      <c r="AA40" s="25"/>
      <c r="AB40" s="34"/>
      <c r="AC40" s="164"/>
      <c r="AD40" s="35"/>
      <c r="AE40" s="36"/>
      <c r="AF40" s="29"/>
      <c r="AG40" s="29"/>
      <c r="AH40" s="30"/>
      <c r="AI40" s="172" t="s">
        <v>608</v>
      </c>
      <c r="AJ40" s="29"/>
      <c r="AK40" s="29"/>
      <c r="AL40" s="30"/>
      <c r="AM40" s="172" t="s">
        <v>608</v>
      </c>
      <c r="AN40" s="29"/>
      <c r="AO40" s="29"/>
      <c r="AP40" s="30"/>
      <c r="AQ40" s="172" t="s">
        <v>608</v>
      </c>
      <c r="AR40" s="29"/>
      <c r="AS40" s="29"/>
      <c r="AT40" s="30"/>
      <c r="AU40" s="172" t="s">
        <v>608</v>
      </c>
      <c r="AV40" s="29"/>
      <c r="AW40" s="29"/>
      <c r="AX40" s="30"/>
      <c r="AY40" s="55"/>
      <c r="AZ40" s="29"/>
      <c r="BA40" s="29"/>
      <c r="BB40" s="30"/>
      <c r="BC40" s="172" t="s">
        <v>751</v>
      </c>
      <c r="BD40" s="29"/>
      <c r="BE40" s="29"/>
      <c r="BF40" s="30"/>
      <c r="BG40" s="55"/>
      <c r="BH40" s="29"/>
      <c r="BI40" s="29"/>
      <c r="BJ40" s="30"/>
      <c r="BK40" s="172" t="s">
        <v>751</v>
      </c>
      <c r="BL40" s="29"/>
      <c r="BM40" s="29"/>
      <c r="BN40" s="30"/>
      <c r="BO40" s="55"/>
      <c r="BP40" s="29"/>
      <c r="BQ40" s="29"/>
      <c r="BR40" s="30"/>
      <c r="BS40" s="55"/>
      <c r="BT40" s="29"/>
      <c r="BU40" s="29"/>
      <c r="BV40" s="30"/>
      <c r="BW40" s="55"/>
      <c r="BX40" s="29"/>
      <c r="BY40" s="29"/>
      <c r="BZ40" s="30"/>
      <c r="CA40" s="31"/>
    </row>
    <row r="41" spans="1:79" hidden="1">
      <c r="A41" s="71"/>
      <c r="B41" s="297"/>
      <c r="C41" s="307" t="s">
        <v>387</v>
      </c>
      <c r="D41" s="299" t="str">
        <f t="shared" si="7"/>
        <v xml:space="preserve"> 805</v>
      </c>
      <c r="E41" s="308" t="s">
        <v>387</v>
      </c>
      <c r="F41" s="301">
        <f t="shared" si="8"/>
        <v>0</v>
      </c>
      <c r="G41" s="302" t="s">
        <v>35</v>
      </c>
      <c r="H41" s="302" t="s">
        <v>373</v>
      </c>
      <c r="I41" s="302" t="s">
        <v>1100</v>
      </c>
      <c r="J41" s="303">
        <v>32000</v>
      </c>
      <c r="K41" s="312">
        <f t="shared" si="16"/>
        <v>5900</v>
      </c>
      <c r="L41" s="301" t="s">
        <v>69</v>
      </c>
      <c r="M41" s="305">
        <f t="shared" si="15"/>
        <v>26100</v>
      </c>
      <c r="N41" s="305">
        <v>5900</v>
      </c>
      <c r="O41" s="306">
        <f>M41+N41</f>
        <v>32000</v>
      </c>
      <c r="P41" s="295"/>
      <c r="Q41" s="292" t="s">
        <v>1153</v>
      </c>
      <c r="R41" s="22"/>
      <c r="S41" s="22">
        <f t="shared" si="2"/>
        <v>32000</v>
      </c>
      <c r="T41" s="22">
        <f>S41/0.7</f>
        <v>45714.285714285717</v>
      </c>
      <c r="U41" s="23">
        <f>T41/0.875</f>
        <v>52244.897959183676</v>
      </c>
      <c r="V41" s="24">
        <f>(U41-T41)/U41</f>
        <v>0.12499999999999999</v>
      </c>
      <c r="W41" s="23">
        <f t="shared" si="12"/>
        <v>52300</v>
      </c>
      <c r="X41" s="164">
        <f t="shared" si="6"/>
        <v>0.30000000000000004</v>
      </c>
      <c r="Y41" s="25"/>
      <c r="Z41" s="25"/>
      <c r="AA41" s="25"/>
      <c r="AB41" s="34"/>
      <c r="AC41" s="286">
        <f>AVERAGE(X41,X40,X40,X39,X38,X32,X31,X31,X29,X28,X18,X12,X12,X11,X9)</f>
        <v>0.30000000000000004</v>
      </c>
      <c r="AD41" s="182">
        <f>AVERAGE(T9,T41,T40,T39,T38,T32,T31,T29,T28,T18,T12,T11)</f>
        <v>86988.095238095251</v>
      </c>
      <c r="AE41" s="28">
        <f>AVERAGE(AI41,AM41,AQ41,AU41,BC41,BK41,BO41,BS41,BW41)</f>
        <v>123276.16666666667</v>
      </c>
      <c r="AF41" s="170">
        <v>107084.0336134454</v>
      </c>
      <c r="AG41" s="179">
        <v>94286</v>
      </c>
      <c r="AH41" s="21">
        <f>(AD41-AF41)/AF41</f>
        <v>-0.18766512333568758</v>
      </c>
      <c r="AI41" s="38">
        <v>135782</v>
      </c>
      <c r="AJ41" s="180">
        <f>86044/0.7</f>
        <v>122920.00000000001</v>
      </c>
      <c r="AK41" s="181">
        <v>103360</v>
      </c>
      <c r="AL41" s="21">
        <f>(AI41-AJ41)/AJ41</f>
        <v>0.10463716238203696</v>
      </c>
      <c r="AM41" s="38">
        <v>106995</v>
      </c>
      <c r="AN41" s="180">
        <f>76599/0.7</f>
        <v>109427.14285714287</v>
      </c>
      <c r="AO41" s="180">
        <v>103421</v>
      </c>
      <c r="AP41" s="21">
        <f>(AM41-AN41)/AN41</f>
        <v>-2.2226138722437741E-2</v>
      </c>
      <c r="AQ41" s="44">
        <v>112500</v>
      </c>
      <c r="AR41" s="180">
        <f>75206/0.7</f>
        <v>107437.14285714287</v>
      </c>
      <c r="AS41" s="180">
        <v>106500</v>
      </c>
      <c r="AT41" s="21">
        <f>(AQ41-AR41)/AR41</f>
        <v>4.7123899688854491E-2</v>
      </c>
      <c r="AU41" s="44">
        <v>133200</v>
      </c>
      <c r="AV41" s="180">
        <f>79242/0.7</f>
        <v>113202.85714285714</v>
      </c>
      <c r="AW41" s="180">
        <v>115680</v>
      </c>
      <c r="AX41" s="21">
        <f>(AU41-AV41)/AV41</f>
        <v>0.1766487468766563</v>
      </c>
      <c r="AY41" s="57"/>
      <c r="AZ41" s="29"/>
      <c r="BA41" s="29"/>
      <c r="BB41" s="30"/>
      <c r="BC41" s="59">
        <v>100680</v>
      </c>
      <c r="BD41" s="180">
        <v>105049</v>
      </c>
      <c r="BE41" s="180">
        <v>95346</v>
      </c>
      <c r="BF41" s="21">
        <f>(BC41-BD41)/BD41</f>
        <v>-4.1590115089148873E-2</v>
      </c>
      <c r="BG41" s="57"/>
      <c r="BH41" s="29"/>
      <c r="BI41" s="29"/>
      <c r="BJ41" s="30"/>
      <c r="BK41" s="44">
        <v>150500</v>
      </c>
      <c r="BL41" s="180">
        <f>84992/0.7</f>
        <v>121417.14285714287</v>
      </c>
      <c r="BM41" s="180">
        <v>108876</v>
      </c>
      <c r="BN41" s="21">
        <f>(BK41-BL41)/BL41</f>
        <v>0.23952842620481915</v>
      </c>
      <c r="BO41" s="57"/>
      <c r="BP41" s="180">
        <f>80441/0.7</f>
        <v>114915.71428571429</v>
      </c>
      <c r="BQ41" s="29"/>
      <c r="BR41" s="30"/>
      <c r="BS41" s="55"/>
      <c r="BT41" s="29"/>
      <c r="BU41" s="29"/>
      <c r="BV41" s="30"/>
      <c r="BW41" s="55"/>
      <c r="BX41" s="29"/>
      <c r="BY41" s="29"/>
      <c r="BZ41" s="30"/>
      <c r="CA41" s="31"/>
    </row>
    <row r="42" spans="1:79" hidden="1">
      <c r="B42" s="297"/>
      <c r="C42" s="307" t="s">
        <v>393</v>
      </c>
      <c r="D42" s="299" t="str">
        <f t="shared" si="7"/>
        <v xml:space="preserve"> 242</v>
      </c>
      <c r="E42" s="308" t="s">
        <v>393</v>
      </c>
      <c r="F42" s="301">
        <f t="shared" si="8"/>
        <v>0</v>
      </c>
      <c r="G42" s="302" t="s">
        <v>35</v>
      </c>
      <c r="H42" s="302" t="s">
        <v>373</v>
      </c>
      <c r="I42" s="302" t="s">
        <v>1100</v>
      </c>
      <c r="J42" s="303">
        <v>27000</v>
      </c>
      <c r="K42" s="312">
        <f t="shared" si="16"/>
        <v>4900</v>
      </c>
      <c r="L42" s="301" t="s">
        <v>69</v>
      </c>
      <c r="M42" s="305">
        <f t="shared" si="15"/>
        <v>22100</v>
      </c>
      <c r="N42" s="305">
        <v>4900</v>
      </c>
      <c r="O42" s="306">
        <f t="shared" si="17"/>
        <v>27000</v>
      </c>
      <c r="P42" s="295"/>
      <c r="Q42" s="292" t="s">
        <v>1155</v>
      </c>
      <c r="R42" s="22"/>
      <c r="S42" s="22">
        <f t="shared" si="2"/>
        <v>27000</v>
      </c>
      <c r="T42" s="22">
        <f t="shared" si="3"/>
        <v>38571.428571428572</v>
      </c>
      <c r="U42" s="23">
        <f t="shared" si="4"/>
        <v>44081.632653061228</v>
      </c>
      <c r="V42" s="24">
        <f t="shared" si="5"/>
        <v>0.12500000000000003</v>
      </c>
      <c r="W42" s="23">
        <f t="shared" si="12"/>
        <v>44100</v>
      </c>
      <c r="X42" s="164">
        <f t="shared" si="6"/>
        <v>0.30000000000000004</v>
      </c>
      <c r="Y42" s="25"/>
      <c r="Z42" s="25"/>
      <c r="AA42" s="25"/>
      <c r="AB42" s="34"/>
      <c r="AC42" s="164">
        <f>AVERAGE(X42,X37,X35,X34,X33,X30,X27,X26,X22,X21,X20,X19,X17,X16,X14,X14)</f>
        <v>0.29999999999999993</v>
      </c>
      <c r="AD42" s="208">
        <f>AVERAGE(T42,T37,T35,T34,T33,T30,T27,T26,T21,T22,T20,T19,T17,T16,T14)</f>
        <v>105771.42857142858</v>
      </c>
      <c r="AE42" s="28">
        <f>AVERAGE(AI42,AM42,AQ42,AU42,BC42,BK42,BO42,BS42,BW42)</f>
        <v>121807.33333333333</v>
      </c>
      <c r="AF42" s="181">
        <v>99865.079365079364</v>
      </c>
      <c r="AG42" s="181">
        <v>93833</v>
      </c>
      <c r="AH42" s="30"/>
      <c r="AI42" s="55"/>
      <c r="AJ42" s="29"/>
      <c r="AK42" s="29"/>
      <c r="AL42" s="30"/>
      <c r="AM42" s="55"/>
      <c r="AN42" s="29"/>
      <c r="AO42" s="181">
        <v>89566</v>
      </c>
      <c r="AP42" s="30"/>
      <c r="AQ42" s="44">
        <v>110362</v>
      </c>
      <c r="AR42" s="181">
        <f>72818/0.7</f>
        <v>104025.71428571429</v>
      </c>
      <c r="AS42" s="181">
        <v>104025</v>
      </c>
      <c r="AT42" s="30"/>
      <c r="AU42" s="248">
        <v>153000</v>
      </c>
      <c r="AV42" s="181">
        <f>88358/0.7</f>
        <v>126225.71428571429</v>
      </c>
      <c r="AW42" s="181">
        <v>102900</v>
      </c>
      <c r="AX42" s="30"/>
      <c r="AY42" s="55"/>
      <c r="AZ42" s="29"/>
      <c r="BA42" s="29"/>
      <c r="BB42" s="30"/>
      <c r="BC42" s="250">
        <v>102060</v>
      </c>
      <c r="BD42" s="29"/>
      <c r="BE42" s="181">
        <v>84371</v>
      </c>
      <c r="BF42" s="55"/>
      <c r="BG42" s="55"/>
      <c r="BH42" s="29"/>
      <c r="BI42" s="29"/>
      <c r="BJ42" s="30"/>
      <c r="BK42" s="55"/>
      <c r="BL42" s="181">
        <f>77560/0.7</f>
        <v>110800</v>
      </c>
      <c r="BM42" s="181">
        <v>105667</v>
      </c>
      <c r="BN42" s="30"/>
      <c r="BO42" s="55"/>
      <c r="BP42" s="29"/>
      <c r="BQ42" s="29"/>
      <c r="BR42" s="30"/>
      <c r="BS42" s="55"/>
      <c r="BT42" s="29"/>
      <c r="BU42" s="29"/>
      <c r="BV42" s="30"/>
      <c r="BW42" s="55"/>
      <c r="BX42" s="29"/>
      <c r="BY42" s="29"/>
      <c r="BZ42" s="30"/>
      <c r="CA42" s="31"/>
    </row>
    <row r="43" spans="1:79" hidden="1">
      <c r="A43" s="71"/>
      <c r="B43" s="297"/>
      <c r="C43" s="307" t="s">
        <v>904</v>
      </c>
      <c r="D43" s="299" t="str">
        <f t="shared" si="7"/>
        <v xml:space="preserve"> 699</v>
      </c>
      <c r="E43" s="308" t="s">
        <v>904</v>
      </c>
      <c r="F43" s="301">
        <f t="shared" si="8"/>
        <v>0</v>
      </c>
      <c r="G43" s="302" t="s">
        <v>1063</v>
      </c>
      <c r="H43" s="302" t="s">
        <v>373</v>
      </c>
      <c r="I43" s="302" t="s">
        <v>1100</v>
      </c>
      <c r="J43" s="303">
        <v>30000</v>
      </c>
      <c r="K43" s="304">
        <f t="shared" si="16"/>
        <v>4900</v>
      </c>
      <c r="L43" s="301" t="s">
        <v>69</v>
      </c>
      <c r="M43" s="305">
        <f t="shared" si="15"/>
        <v>25100</v>
      </c>
      <c r="N43" s="305">
        <v>4900</v>
      </c>
      <c r="O43" s="306">
        <f t="shared" si="17"/>
        <v>30000</v>
      </c>
      <c r="P43" s="293"/>
      <c r="Q43" s="292" t="s">
        <v>1155</v>
      </c>
      <c r="R43" s="22"/>
      <c r="S43" s="22">
        <f t="shared" si="2"/>
        <v>30000</v>
      </c>
      <c r="T43" s="22">
        <f t="shared" si="3"/>
        <v>42857.142857142862</v>
      </c>
      <c r="U43" s="23">
        <f t="shared" si="4"/>
        <v>48979.591836734697</v>
      </c>
      <c r="V43" s="24">
        <f t="shared" si="5"/>
        <v>0.12499999999999994</v>
      </c>
      <c r="W43" s="23">
        <f t="shared" si="12"/>
        <v>49000</v>
      </c>
      <c r="X43" s="344">
        <f t="shared" si="6"/>
        <v>0.3000000000000001</v>
      </c>
      <c r="Y43" s="25"/>
      <c r="Z43" s="25"/>
      <c r="AA43" s="37"/>
      <c r="AB43" s="26"/>
      <c r="AC43" s="26"/>
      <c r="AD43" s="35"/>
      <c r="AE43" s="36"/>
      <c r="AF43" s="29"/>
      <c r="AG43" s="29"/>
      <c r="AH43" s="30"/>
      <c r="AI43" s="172" t="s">
        <v>608</v>
      </c>
      <c r="AJ43" s="29"/>
      <c r="AK43" s="29"/>
      <c r="AL43" s="30"/>
      <c r="AM43" s="55"/>
      <c r="AN43" s="29"/>
      <c r="AO43" s="29"/>
      <c r="AP43" s="30"/>
      <c r="AQ43" s="55"/>
      <c r="AR43" s="29"/>
      <c r="AS43" s="29"/>
      <c r="AT43" s="30"/>
      <c r="AU43" s="172" t="s">
        <v>608</v>
      </c>
      <c r="AV43" s="29"/>
      <c r="AW43" s="29"/>
      <c r="AX43" s="30"/>
      <c r="AY43" s="55"/>
      <c r="AZ43" s="29"/>
      <c r="BA43" s="29"/>
      <c r="BB43" s="30"/>
      <c r="BC43" s="172" t="s">
        <v>608</v>
      </c>
      <c r="BD43" s="29"/>
      <c r="BE43" s="29"/>
      <c r="BF43" s="30"/>
      <c r="BG43" s="172" t="s">
        <v>608</v>
      </c>
      <c r="BH43" s="29"/>
      <c r="BI43" s="29"/>
      <c r="BJ43" s="30"/>
      <c r="BK43" s="55"/>
      <c r="BL43" s="29"/>
      <c r="BM43" s="29"/>
      <c r="BN43" s="30"/>
      <c r="BO43" s="55"/>
      <c r="BP43" s="29"/>
      <c r="BQ43" s="29"/>
      <c r="BR43" s="30"/>
      <c r="BS43" s="55"/>
      <c r="BT43" s="29"/>
      <c r="BU43" s="29"/>
      <c r="BV43" s="30"/>
      <c r="BW43" s="31"/>
    </row>
    <row r="44" spans="1:79" hidden="1">
      <c r="B44" s="297"/>
      <c r="C44" s="307" t="s">
        <v>905</v>
      </c>
      <c r="D44" s="299" t="str">
        <f>REPLACE(C44,1,3, )</f>
        <v xml:space="preserve"> 764</v>
      </c>
      <c r="E44" s="308" t="s">
        <v>905</v>
      </c>
      <c r="F44" s="301">
        <f>IF(C44=E44,0,1)</f>
        <v>0</v>
      </c>
      <c r="G44" s="302" t="s">
        <v>1063</v>
      </c>
      <c r="H44" s="302" t="s">
        <v>373</v>
      </c>
      <c r="I44" s="302" t="s">
        <v>1100</v>
      </c>
      <c r="J44" s="303">
        <v>30000</v>
      </c>
      <c r="K44" s="312">
        <f>J44-M44</f>
        <v>4900</v>
      </c>
      <c r="L44" s="301" t="s">
        <v>69</v>
      </c>
      <c r="M44" s="305">
        <f t="shared" si="15"/>
        <v>25100</v>
      </c>
      <c r="N44" s="305">
        <v>4900</v>
      </c>
      <c r="O44" s="306">
        <f>M44+N44</f>
        <v>30000</v>
      </c>
      <c r="P44" s="294"/>
      <c r="Q44" s="292" t="s">
        <v>1155</v>
      </c>
      <c r="R44" s="22"/>
      <c r="S44" s="22">
        <f>R44+O44</f>
        <v>30000</v>
      </c>
      <c r="T44" s="22">
        <f>S44/0.7</f>
        <v>42857.142857142862</v>
      </c>
      <c r="U44" s="23">
        <f>T44/0.875</f>
        <v>48979.591836734697</v>
      </c>
      <c r="V44" s="24">
        <f>(U44-T44)/U44</f>
        <v>0.12499999999999994</v>
      </c>
      <c r="W44" s="23">
        <f>(ROUNDUP((U44/100),0))*100</f>
        <v>49000</v>
      </c>
      <c r="X44" s="344">
        <f>(T44-O44)/T44</f>
        <v>0.3000000000000001</v>
      </c>
      <c r="Y44" s="25"/>
      <c r="Z44" s="25"/>
      <c r="AA44" s="25"/>
      <c r="AB44" s="26"/>
      <c r="AC44" s="164"/>
      <c r="AD44" s="32"/>
      <c r="AE44" s="33"/>
      <c r="AF44" s="29"/>
      <c r="AG44" s="29"/>
      <c r="AH44" s="30"/>
      <c r="AI44" s="172" t="s">
        <v>608</v>
      </c>
      <c r="AJ44" s="29"/>
      <c r="AK44" s="29"/>
      <c r="AL44" s="30"/>
      <c r="AM44" s="172" t="s">
        <v>608</v>
      </c>
      <c r="AN44" s="29"/>
      <c r="AO44" s="29"/>
      <c r="AP44" s="30"/>
      <c r="AQ44" s="172" t="s">
        <v>608</v>
      </c>
      <c r="AR44" s="29"/>
      <c r="AS44" s="29"/>
      <c r="AT44" s="30"/>
      <c r="AU44" s="172" t="s">
        <v>608</v>
      </c>
      <c r="AV44" s="29"/>
      <c r="AW44" s="29"/>
      <c r="AX44" s="30"/>
      <c r="AY44" s="55"/>
      <c r="AZ44" s="29"/>
      <c r="BA44" s="29"/>
      <c r="BB44" s="30"/>
      <c r="BC44" s="172" t="s">
        <v>608</v>
      </c>
      <c r="BD44" s="29"/>
      <c r="BE44" s="29"/>
      <c r="BF44" s="30"/>
      <c r="BG44" s="55"/>
      <c r="BH44" s="29"/>
      <c r="BI44" s="29"/>
      <c r="BJ44" s="30"/>
      <c r="BK44" s="172" t="s">
        <v>608</v>
      </c>
      <c r="BL44" s="29"/>
      <c r="BM44" s="29"/>
      <c r="BN44" s="30"/>
      <c r="BO44" s="55"/>
      <c r="BP44" s="29"/>
      <c r="BQ44" s="29"/>
      <c r="BR44" s="30"/>
      <c r="BS44" s="55"/>
      <c r="BT44" s="29"/>
      <c r="BU44" s="29"/>
      <c r="BV44" s="30"/>
      <c r="BW44" s="55"/>
      <c r="BX44" s="29"/>
      <c r="BY44" s="29"/>
      <c r="BZ44" s="30"/>
      <c r="CA44" s="31"/>
    </row>
    <row r="45" spans="1:79" hidden="1">
      <c r="B45" s="297"/>
      <c r="C45" s="307" t="s">
        <v>906</v>
      </c>
      <c r="D45" s="299" t="str">
        <f t="shared" si="7"/>
        <v xml:space="preserve"> 360</v>
      </c>
      <c r="E45" s="308" t="s">
        <v>906</v>
      </c>
      <c r="F45" s="301">
        <f t="shared" si="8"/>
        <v>0</v>
      </c>
      <c r="G45" s="302" t="s">
        <v>1063</v>
      </c>
      <c r="H45" s="302" t="s">
        <v>373</v>
      </c>
      <c r="I45" s="302" t="s">
        <v>1100</v>
      </c>
      <c r="J45" s="303">
        <v>30000</v>
      </c>
      <c r="K45" s="312">
        <f t="shared" si="16"/>
        <v>4900</v>
      </c>
      <c r="L45" s="301" t="s">
        <v>69</v>
      </c>
      <c r="M45" s="305">
        <f t="shared" si="15"/>
        <v>25100</v>
      </c>
      <c r="N45" s="305">
        <v>4900</v>
      </c>
      <c r="O45" s="306">
        <f>M45+N45</f>
        <v>30000</v>
      </c>
      <c r="P45" s="295"/>
      <c r="Q45" s="292" t="s">
        <v>1155</v>
      </c>
      <c r="R45" s="22"/>
      <c r="S45" s="22">
        <f t="shared" si="2"/>
        <v>30000</v>
      </c>
      <c r="T45" s="22">
        <f>S45/0.7</f>
        <v>42857.142857142862</v>
      </c>
      <c r="U45" s="23">
        <f>T45/0.875</f>
        <v>48979.591836734697</v>
      </c>
      <c r="V45" s="24">
        <f>(U45-T45)/U45</f>
        <v>0.12499999999999994</v>
      </c>
      <c r="W45" s="23">
        <f t="shared" si="12"/>
        <v>49000</v>
      </c>
      <c r="X45" s="344">
        <f t="shared" si="6"/>
        <v>0.3000000000000001</v>
      </c>
      <c r="Y45" s="253">
        <v>141428.57142857145</v>
      </c>
      <c r="Z45" s="188">
        <f>T45-Y45</f>
        <v>-98571.42857142858</v>
      </c>
      <c r="AA45" s="189">
        <f>Z45/Y45</f>
        <v>-0.69696969696969691</v>
      </c>
      <c r="AB45" s="34"/>
      <c r="AC45" s="26"/>
      <c r="AD45" s="34"/>
      <c r="AE45" s="45"/>
      <c r="AF45" s="29"/>
      <c r="AG45" s="29"/>
      <c r="AH45" s="30"/>
      <c r="AI45" s="55"/>
      <c r="AJ45" s="29"/>
      <c r="AK45" s="29"/>
      <c r="AL45" s="30"/>
      <c r="AM45" s="55"/>
      <c r="AN45" s="29"/>
      <c r="AO45" s="29"/>
      <c r="AP45" s="30"/>
      <c r="AQ45" s="55"/>
      <c r="AR45" s="29"/>
      <c r="AS45" s="29"/>
      <c r="AT45" s="30"/>
      <c r="AU45" s="55"/>
      <c r="AV45" s="29"/>
      <c r="AW45" s="29"/>
      <c r="AX45" s="30"/>
      <c r="AY45" s="55"/>
      <c r="AZ45" s="29"/>
      <c r="BA45" s="29"/>
      <c r="BB45" s="30"/>
      <c r="BC45" s="55"/>
      <c r="BD45" s="29"/>
      <c r="BE45" s="29"/>
      <c r="BF45" s="30"/>
      <c r="BG45" s="55"/>
      <c r="BH45" s="29"/>
      <c r="BI45" s="29"/>
      <c r="BJ45" s="30"/>
      <c r="BK45" s="55"/>
      <c r="BL45" s="29"/>
      <c r="BM45" s="29"/>
      <c r="BN45" s="30"/>
      <c r="BO45" s="55"/>
      <c r="BP45" s="29"/>
      <c r="BQ45" s="29"/>
      <c r="BR45" s="30"/>
      <c r="BS45" s="55"/>
      <c r="BT45" s="29"/>
      <c r="BU45" s="29"/>
      <c r="BV45" s="30"/>
      <c r="BW45" s="55"/>
      <c r="BX45" s="29"/>
      <c r="BY45" s="29"/>
      <c r="BZ45" s="30"/>
      <c r="CA45" s="31"/>
    </row>
    <row r="46" spans="1:79" hidden="1">
      <c r="B46" s="297"/>
      <c r="C46" s="307" t="s">
        <v>907</v>
      </c>
      <c r="D46" s="299" t="str">
        <f t="shared" si="7"/>
        <v xml:space="preserve"> 770</v>
      </c>
      <c r="E46" s="308" t="s">
        <v>907</v>
      </c>
      <c r="F46" s="301">
        <f t="shared" si="8"/>
        <v>0</v>
      </c>
      <c r="G46" s="302" t="s">
        <v>1063</v>
      </c>
      <c r="H46" s="302" t="s">
        <v>373</v>
      </c>
      <c r="I46" s="302" t="s">
        <v>1100</v>
      </c>
      <c r="J46" s="303">
        <v>30000</v>
      </c>
      <c r="K46" s="312">
        <f t="shared" si="16"/>
        <v>4900</v>
      </c>
      <c r="L46" s="301" t="s">
        <v>69</v>
      </c>
      <c r="M46" s="305">
        <f t="shared" si="15"/>
        <v>25100</v>
      </c>
      <c r="N46" s="305">
        <v>4900</v>
      </c>
      <c r="O46" s="306">
        <f>M46+N46</f>
        <v>30000</v>
      </c>
      <c r="P46" s="295"/>
      <c r="Q46" s="292" t="s">
        <v>1155</v>
      </c>
      <c r="R46" s="22"/>
      <c r="S46" s="22">
        <f t="shared" si="2"/>
        <v>30000</v>
      </c>
      <c r="T46" s="22">
        <f>S46/0.7</f>
        <v>42857.142857142862</v>
      </c>
      <c r="U46" s="23">
        <f>T46/0.875</f>
        <v>48979.591836734697</v>
      </c>
      <c r="V46" s="24">
        <f>(U46-T46)/U46</f>
        <v>0.12499999999999994</v>
      </c>
      <c r="W46" s="23">
        <f t="shared" si="12"/>
        <v>49000</v>
      </c>
      <c r="X46" s="344">
        <f t="shared" si="6"/>
        <v>0.3000000000000001</v>
      </c>
      <c r="Y46" s="253">
        <v>120000</v>
      </c>
      <c r="Z46" s="188">
        <f>T46-Y46</f>
        <v>-77142.85714285713</v>
      </c>
      <c r="AA46" s="189">
        <f>Z46/Y46</f>
        <v>-0.64285714285714279</v>
      </c>
      <c r="AB46" s="26"/>
      <c r="AC46" s="26"/>
      <c r="AD46" s="35"/>
      <c r="AE46" s="36"/>
      <c r="AF46" s="29"/>
      <c r="AG46" s="29"/>
      <c r="AH46" s="30"/>
      <c r="AI46" s="55"/>
      <c r="AJ46" s="29"/>
      <c r="AK46" s="29"/>
      <c r="AL46" s="30"/>
      <c r="AM46" s="55"/>
      <c r="AN46" s="29"/>
      <c r="AO46" s="29"/>
      <c r="AP46" s="30"/>
      <c r="AQ46" s="55"/>
      <c r="AR46" s="29"/>
      <c r="AS46" s="29"/>
      <c r="AT46" s="30"/>
      <c r="AU46" s="55"/>
      <c r="AV46" s="29"/>
      <c r="AW46" s="29"/>
      <c r="AX46" s="30"/>
      <c r="AY46" s="55"/>
      <c r="AZ46" s="29"/>
      <c r="BA46" s="29"/>
      <c r="BB46" s="30"/>
      <c r="BC46" s="55"/>
      <c r="BD46" s="29"/>
      <c r="BE46" s="29"/>
      <c r="BF46" s="30"/>
      <c r="BG46" s="55"/>
      <c r="BH46" s="29"/>
      <c r="BI46" s="29"/>
      <c r="BJ46" s="30"/>
      <c r="BK46" s="55"/>
      <c r="BL46" s="29"/>
      <c r="BM46" s="29"/>
      <c r="BN46" s="30"/>
      <c r="BO46" s="55"/>
      <c r="BP46" s="29"/>
      <c r="BQ46" s="29"/>
      <c r="BR46" s="30"/>
      <c r="BS46" s="55"/>
      <c r="BT46" s="29"/>
      <c r="BU46" s="29"/>
      <c r="BV46" s="30"/>
      <c r="BW46" s="55"/>
      <c r="BX46" s="29"/>
      <c r="BY46" s="29"/>
      <c r="BZ46" s="30"/>
      <c r="CA46" s="31"/>
    </row>
    <row r="47" spans="1:79" hidden="1">
      <c r="B47" s="297"/>
      <c r="C47" s="307" t="s">
        <v>908</v>
      </c>
      <c r="D47" s="299" t="str">
        <f t="shared" si="7"/>
        <v xml:space="preserve"> 426</v>
      </c>
      <c r="E47" s="308" t="s">
        <v>908</v>
      </c>
      <c r="F47" s="301">
        <f t="shared" si="8"/>
        <v>0</v>
      </c>
      <c r="G47" s="302" t="s">
        <v>1063</v>
      </c>
      <c r="H47" s="302" t="s">
        <v>1075</v>
      </c>
      <c r="I47" s="302" t="s">
        <v>1101</v>
      </c>
      <c r="J47" s="303">
        <v>80000</v>
      </c>
      <c r="K47" s="312">
        <f t="shared" si="16"/>
        <v>2800</v>
      </c>
      <c r="L47" s="301" t="s">
        <v>69</v>
      </c>
      <c r="M47" s="305">
        <f t="shared" si="15"/>
        <v>77200</v>
      </c>
      <c r="N47" s="305">
        <v>2800</v>
      </c>
      <c r="O47" s="306">
        <f t="shared" si="17"/>
        <v>80000</v>
      </c>
      <c r="P47" s="295"/>
      <c r="Q47" s="292" t="s">
        <v>1156</v>
      </c>
      <c r="R47" s="22"/>
      <c r="S47" s="22">
        <f t="shared" si="2"/>
        <v>80000</v>
      </c>
      <c r="T47" s="22">
        <f t="shared" si="3"/>
        <v>114285.71428571429</v>
      </c>
      <c r="U47" s="23">
        <f t="shared" si="4"/>
        <v>130612.24489795919</v>
      </c>
      <c r="V47" s="24">
        <f t="shared" si="5"/>
        <v>0.12499999999999999</v>
      </c>
      <c r="W47" s="23">
        <f t="shared" si="12"/>
        <v>130700</v>
      </c>
      <c r="X47" s="344">
        <f t="shared" si="6"/>
        <v>0.30000000000000004</v>
      </c>
      <c r="Y47" s="25"/>
      <c r="Z47" s="25"/>
      <c r="AA47" s="37"/>
      <c r="AB47" s="26"/>
      <c r="AC47" s="26"/>
      <c r="AD47" s="35"/>
      <c r="AE47" s="36"/>
      <c r="AF47" s="29"/>
      <c r="AG47" s="29"/>
      <c r="AH47" s="30"/>
      <c r="AI47" s="55"/>
      <c r="AJ47" s="29"/>
      <c r="AK47" s="29"/>
      <c r="AL47" s="30"/>
      <c r="AM47" s="55"/>
      <c r="AN47" s="29"/>
      <c r="AO47" s="29"/>
      <c r="AP47" s="30"/>
      <c r="AQ47" s="55"/>
      <c r="AR47" s="29"/>
      <c r="AS47" s="29"/>
      <c r="AT47" s="30"/>
      <c r="AU47" s="55"/>
      <c r="AV47" s="29"/>
      <c r="AW47" s="29"/>
      <c r="AX47" s="30"/>
      <c r="AY47" s="55"/>
      <c r="AZ47" s="29"/>
      <c r="BA47" s="29"/>
      <c r="BB47" s="30"/>
      <c r="BC47" s="55"/>
      <c r="BD47" s="29"/>
      <c r="BE47" s="29"/>
      <c r="BF47" s="30"/>
      <c r="BG47" s="55"/>
      <c r="BH47" s="29"/>
      <c r="BI47" s="29"/>
      <c r="BJ47" s="30"/>
      <c r="BK47" s="55"/>
      <c r="BL47" s="29"/>
      <c r="BM47" s="29"/>
      <c r="BN47" s="30"/>
      <c r="BO47" s="55"/>
      <c r="BP47" s="29"/>
      <c r="BQ47" s="29"/>
      <c r="BR47" s="30"/>
      <c r="BS47" s="55"/>
      <c r="BT47" s="29"/>
      <c r="BU47" s="29"/>
      <c r="BV47" s="30"/>
      <c r="BW47" s="55"/>
      <c r="BX47" s="29"/>
      <c r="BY47" s="29"/>
      <c r="BZ47" s="30"/>
      <c r="CA47" s="31"/>
    </row>
    <row r="48" spans="1:79" hidden="1">
      <c r="B48" s="297"/>
      <c r="C48" s="307" t="s">
        <v>909</v>
      </c>
      <c r="D48" s="299" t="str">
        <f t="shared" si="7"/>
        <v xml:space="preserve"> 139</v>
      </c>
      <c r="E48" s="308" t="s">
        <v>909</v>
      </c>
      <c r="F48" s="301">
        <f t="shared" si="8"/>
        <v>0</v>
      </c>
      <c r="G48" s="302" t="s">
        <v>1063</v>
      </c>
      <c r="H48" s="302" t="s">
        <v>1075</v>
      </c>
      <c r="I48" s="302" t="s">
        <v>1101</v>
      </c>
      <c r="J48" s="303">
        <v>80000</v>
      </c>
      <c r="K48" s="312">
        <f t="shared" si="16"/>
        <v>2800</v>
      </c>
      <c r="L48" s="301" t="s">
        <v>69</v>
      </c>
      <c r="M48" s="305">
        <f t="shared" si="15"/>
        <v>77200</v>
      </c>
      <c r="N48" s="305">
        <v>2800</v>
      </c>
      <c r="O48" s="306">
        <f t="shared" si="17"/>
        <v>80000</v>
      </c>
      <c r="P48" s="295"/>
      <c r="Q48" s="292" t="s">
        <v>1156</v>
      </c>
      <c r="R48" s="22"/>
      <c r="S48" s="22">
        <f t="shared" si="2"/>
        <v>80000</v>
      </c>
      <c r="T48" s="22">
        <f t="shared" si="3"/>
        <v>114285.71428571429</v>
      </c>
      <c r="U48" s="23">
        <f t="shared" si="4"/>
        <v>130612.24489795919</v>
      </c>
      <c r="V48" s="24">
        <f t="shared" si="5"/>
        <v>0.12499999999999999</v>
      </c>
      <c r="W48" s="23">
        <f t="shared" si="12"/>
        <v>130700</v>
      </c>
      <c r="X48" s="344">
        <f t="shared" si="6"/>
        <v>0.30000000000000004</v>
      </c>
      <c r="Y48" s="253">
        <v>141428.57142857145</v>
      </c>
      <c r="Z48" s="188">
        <f>T48-Y48</f>
        <v>-27142.857142857159</v>
      </c>
      <c r="AA48" s="189">
        <f>Z48/Y48</f>
        <v>-0.19191919191919202</v>
      </c>
      <c r="AB48" s="34"/>
      <c r="AC48" s="26"/>
      <c r="AD48" s="35"/>
      <c r="AE48" s="36"/>
      <c r="AF48" s="29"/>
      <c r="AG48" s="29"/>
      <c r="AH48" s="30"/>
      <c r="AI48" s="55"/>
      <c r="AJ48" s="29"/>
      <c r="AK48" s="29"/>
      <c r="AL48" s="30"/>
      <c r="AM48" s="55"/>
      <c r="AN48" s="29"/>
      <c r="AO48" s="29"/>
      <c r="AP48" s="30"/>
      <c r="AQ48" s="55"/>
      <c r="AR48" s="29"/>
      <c r="AS48" s="29"/>
      <c r="AT48" s="30"/>
      <c r="AU48" s="55"/>
      <c r="AV48" s="29"/>
      <c r="AW48" s="29"/>
      <c r="AX48" s="30"/>
      <c r="AY48" s="55"/>
      <c r="AZ48" s="29"/>
      <c r="BA48" s="29"/>
      <c r="BB48" s="30"/>
      <c r="BC48" s="55"/>
      <c r="BD48" s="29"/>
      <c r="BE48" s="29"/>
      <c r="BF48" s="30"/>
      <c r="BG48" s="55"/>
      <c r="BH48" s="29"/>
      <c r="BI48" s="29"/>
      <c r="BJ48" s="30"/>
      <c r="BK48" s="55"/>
      <c r="BL48" s="29"/>
      <c r="BM48" s="29"/>
      <c r="BN48" s="30"/>
      <c r="BO48" s="55"/>
      <c r="BP48" s="29"/>
      <c r="BQ48" s="29"/>
      <c r="BR48" s="30"/>
      <c r="BS48" s="55"/>
      <c r="BT48" s="29"/>
      <c r="BU48" s="29"/>
      <c r="BV48" s="30"/>
      <c r="BW48" s="55"/>
      <c r="BX48" s="29"/>
      <c r="BY48" s="29"/>
      <c r="BZ48" s="30"/>
      <c r="CA48" s="31"/>
    </row>
    <row r="49" spans="1:79" hidden="1">
      <c r="B49" s="297"/>
      <c r="C49" s="307" t="s">
        <v>910</v>
      </c>
      <c r="D49" s="299" t="str">
        <f t="shared" si="7"/>
        <v xml:space="preserve"> 773</v>
      </c>
      <c r="E49" s="308" t="s">
        <v>910</v>
      </c>
      <c r="F49" s="301">
        <f t="shared" si="8"/>
        <v>0</v>
      </c>
      <c r="G49" s="302" t="s">
        <v>1063</v>
      </c>
      <c r="H49" s="302" t="s">
        <v>373</v>
      </c>
      <c r="I49" s="302" t="s">
        <v>1102</v>
      </c>
      <c r="J49" s="303">
        <v>37900</v>
      </c>
      <c r="K49" s="312">
        <f t="shared" si="16"/>
        <v>4900</v>
      </c>
      <c r="L49" s="301" t="s">
        <v>69</v>
      </c>
      <c r="M49" s="305">
        <f t="shared" si="15"/>
        <v>33000</v>
      </c>
      <c r="N49" s="305">
        <v>4900</v>
      </c>
      <c r="O49" s="306">
        <f t="shared" si="17"/>
        <v>37900</v>
      </c>
      <c r="P49" s="295"/>
      <c r="Q49" s="292" t="s">
        <v>1155</v>
      </c>
      <c r="R49" s="22"/>
      <c r="S49" s="22">
        <f t="shared" si="2"/>
        <v>37900</v>
      </c>
      <c r="T49" s="22">
        <f>S49/0.7</f>
        <v>54142.857142857145</v>
      </c>
      <c r="U49" s="23">
        <f t="shared" si="4"/>
        <v>61877.551020408166</v>
      </c>
      <c r="V49" s="24">
        <f t="shared" si="5"/>
        <v>0.125</v>
      </c>
      <c r="W49" s="23">
        <f t="shared" si="12"/>
        <v>61900</v>
      </c>
      <c r="X49" s="344">
        <f t="shared" si="6"/>
        <v>0.30000000000000004</v>
      </c>
      <c r="Y49" s="25"/>
      <c r="Z49" s="25"/>
      <c r="AA49" s="25"/>
      <c r="AB49" s="26" t="s">
        <v>98</v>
      </c>
      <c r="AC49" s="26">
        <f>AVERAGE(X49,X49,X48,X47,X46,X45,X43,X36)</f>
        <v>0.30000000000000004</v>
      </c>
      <c r="AD49" s="183">
        <f>AVERAGE(T49,T48,T47,T46,T45,T43,T36)</f>
        <v>63857.142857142848</v>
      </c>
      <c r="AE49" s="28">
        <f>AVERAGE(AI49,AM49,AQ49,AU49,BC49,BK49,BO49,BS49,BW49)</f>
        <v>0</v>
      </c>
      <c r="AF49" s="170">
        <v>127142.85714285716</v>
      </c>
      <c r="AG49" s="180">
        <v>113571</v>
      </c>
      <c r="AH49" s="21">
        <f>(AD49-AF49)/AF49</f>
        <v>-0.49775280898876417</v>
      </c>
      <c r="AI49" s="55"/>
      <c r="AJ49" s="29"/>
      <c r="AK49" s="29"/>
      <c r="AL49" s="30"/>
      <c r="AM49" s="55">
        <v>0</v>
      </c>
      <c r="AN49" s="29"/>
      <c r="AO49" s="181">
        <v>115600</v>
      </c>
      <c r="AP49" s="30"/>
      <c r="AQ49" s="55"/>
      <c r="AR49" s="181">
        <f>83475/0.7</f>
        <v>119250.00000000001</v>
      </c>
      <c r="AS49" s="29"/>
      <c r="AT49" s="30"/>
      <c r="AU49" s="55"/>
      <c r="AV49" s="29"/>
      <c r="AW49" s="29"/>
      <c r="AX49" s="30"/>
      <c r="AY49" s="55"/>
      <c r="AZ49" s="29"/>
      <c r="BA49" s="29"/>
      <c r="BB49" s="30"/>
      <c r="BC49" s="55"/>
      <c r="BD49" s="29"/>
      <c r="BE49" s="181">
        <v>91044</v>
      </c>
      <c r="BF49" s="30"/>
      <c r="BG49" s="55"/>
      <c r="BH49" s="29"/>
      <c r="BI49" s="29"/>
      <c r="BJ49" s="30"/>
      <c r="BK49" s="55"/>
      <c r="BL49" s="180">
        <f>82133/0.7</f>
        <v>117332.85714285714</v>
      </c>
      <c r="BM49" s="180">
        <v>112333</v>
      </c>
      <c r="BN49" s="21">
        <f>(BK49-BL49)/BL49</f>
        <v>-1</v>
      </c>
      <c r="BO49" s="57"/>
      <c r="BP49" s="29"/>
      <c r="BQ49" s="29"/>
      <c r="BR49" s="30"/>
      <c r="BS49" s="55"/>
      <c r="BT49" s="29"/>
      <c r="BU49" s="29"/>
      <c r="BV49" s="30"/>
      <c r="BW49" s="55"/>
      <c r="BX49" s="29"/>
      <c r="BY49" s="29"/>
      <c r="BZ49" s="30"/>
      <c r="CA49" s="31"/>
    </row>
    <row r="50" spans="1:79" hidden="1">
      <c r="B50" s="297"/>
      <c r="C50" s="307" t="s">
        <v>911</v>
      </c>
      <c r="D50" s="299" t="str">
        <f t="shared" si="7"/>
        <v xml:space="preserve"> 460</v>
      </c>
      <c r="E50" s="308" t="s">
        <v>911</v>
      </c>
      <c r="F50" s="301">
        <f t="shared" si="8"/>
        <v>0</v>
      </c>
      <c r="G50" s="302" t="s">
        <v>1063</v>
      </c>
      <c r="H50" s="302" t="s">
        <v>373</v>
      </c>
      <c r="I50" s="302" t="s">
        <v>1102</v>
      </c>
      <c r="J50" s="303">
        <v>37900</v>
      </c>
      <c r="K50" s="312">
        <f t="shared" si="16"/>
        <v>4900</v>
      </c>
      <c r="L50" s="301" t="s">
        <v>69</v>
      </c>
      <c r="M50" s="305">
        <f t="shared" si="15"/>
        <v>33000</v>
      </c>
      <c r="N50" s="305">
        <v>4900</v>
      </c>
      <c r="O50" s="306">
        <f t="shared" si="17"/>
        <v>37900</v>
      </c>
      <c r="P50" s="295"/>
      <c r="Q50" s="292" t="s">
        <v>1155</v>
      </c>
      <c r="R50" s="22"/>
      <c r="S50" s="22">
        <f t="shared" si="2"/>
        <v>37900</v>
      </c>
      <c r="T50" s="22">
        <f t="shared" si="3"/>
        <v>54142.857142857145</v>
      </c>
      <c r="U50" s="23">
        <f t="shared" si="4"/>
        <v>61877.551020408166</v>
      </c>
      <c r="V50" s="24">
        <f t="shared" si="5"/>
        <v>0.125</v>
      </c>
      <c r="W50" s="23">
        <f t="shared" si="12"/>
        <v>61900</v>
      </c>
      <c r="X50" s="164">
        <f t="shared" si="6"/>
        <v>0.30000000000000004</v>
      </c>
      <c r="Y50" s="25"/>
      <c r="Z50" s="25"/>
      <c r="AA50" s="37"/>
      <c r="AB50" s="26"/>
      <c r="AC50" s="26"/>
      <c r="AD50" s="46"/>
      <c r="AE50" s="49"/>
      <c r="AF50" s="29"/>
      <c r="AG50" s="29"/>
      <c r="AH50" s="30"/>
      <c r="AI50" s="172" t="s">
        <v>608</v>
      </c>
      <c r="AJ50" s="29"/>
      <c r="AK50" s="29"/>
      <c r="AL50" s="30"/>
      <c r="AM50" s="55"/>
      <c r="AN50" s="29"/>
      <c r="AO50" s="29"/>
      <c r="AP50" s="30"/>
      <c r="AQ50" s="55"/>
      <c r="AR50" s="29"/>
      <c r="AS50" s="29"/>
      <c r="AT50" s="30"/>
      <c r="AU50" s="172" t="s">
        <v>608</v>
      </c>
      <c r="AV50" s="29"/>
      <c r="AW50" s="29"/>
      <c r="AX50" s="30"/>
      <c r="AY50" s="55"/>
      <c r="AZ50" s="29"/>
      <c r="BA50" s="29"/>
      <c r="BB50" s="30"/>
      <c r="BC50" s="172" t="s">
        <v>608</v>
      </c>
      <c r="BD50" s="29"/>
      <c r="BE50" s="29"/>
      <c r="BF50" s="30"/>
      <c r="BG50" s="55"/>
      <c r="BH50" s="29"/>
      <c r="BI50" s="29"/>
      <c r="BJ50" s="30"/>
      <c r="BK50" s="172" t="s">
        <v>608</v>
      </c>
      <c r="BL50" s="29"/>
      <c r="BM50" s="29"/>
      <c r="BN50" s="30"/>
      <c r="BO50" s="55"/>
      <c r="BP50" s="29"/>
      <c r="BQ50" s="29"/>
      <c r="BR50" s="30"/>
      <c r="BS50" s="55"/>
      <c r="BT50" s="29"/>
      <c r="BU50" s="29"/>
      <c r="BV50" s="30"/>
      <c r="BW50" s="55"/>
      <c r="BX50" s="29"/>
      <c r="BY50" s="29"/>
      <c r="BZ50" s="30"/>
      <c r="CA50" s="31"/>
    </row>
    <row r="51" spans="1:79" hidden="1">
      <c r="B51" s="297"/>
      <c r="C51" s="307" t="s">
        <v>912</v>
      </c>
      <c r="D51" s="299" t="str">
        <f t="shared" si="7"/>
        <v xml:space="preserve"> 575</v>
      </c>
      <c r="E51" s="308" t="s">
        <v>912</v>
      </c>
      <c r="F51" s="301">
        <f t="shared" si="8"/>
        <v>0</v>
      </c>
      <c r="G51" s="302" t="s">
        <v>1063</v>
      </c>
      <c r="H51" s="302" t="s">
        <v>292</v>
      </c>
      <c r="I51" s="302" t="s">
        <v>1102</v>
      </c>
      <c r="J51" s="303">
        <v>50900</v>
      </c>
      <c r="K51" s="312">
        <f t="shared" si="16"/>
        <v>5900</v>
      </c>
      <c r="L51" s="301" t="s">
        <v>69</v>
      </c>
      <c r="M51" s="305">
        <f t="shared" si="15"/>
        <v>45000</v>
      </c>
      <c r="N51" s="305">
        <v>5900</v>
      </c>
      <c r="O51" s="306">
        <f t="shared" si="17"/>
        <v>50900</v>
      </c>
      <c r="P51" s="294"/>
      <c r="Q51" s="292" t="s">
        <v>1153</v>
      </c>
      <c r="R51" s="22"/>
      <c r="S51" s="22">
        <f t="shared" si="2"/>
        <v>50900</v>
      </c>
      <c r="T51" s="22">
        <f t="shared" si="3"/>
        <v>72714.285714285725</v>
      </c>
      <c r="U51" s="23">
        <f t="shared" si="4"/>
        <v>83102.040816326538</v>
      </c>
      <c r="V51" s="24">
        <f t="shared" si="5"/>
        <v>0.12499999999999996</v>
      </c>
      <c r="W51" s="23">
        <f t="shared" si="12"/>
        <v>83200</v>
      </c>
      <c r="X51" s="164">
        <f t="shared" si="6"/>
        <v>0.3000000000000001</v>
      </c>
      <c r="Y51" s="25"/>
      <c r="Z51" s="25"/>
      <c r="AA51" s="37"/>
      <c r="AB51" s="26"/>
      <c r="AC51" s="26"/>
      <c r="AD51" s="46"/>
      <c r="AE51" s="49"/>
      <c r="AF51" s="29"/>
      <c r="AG51" s="29"/>
      <c r="AH51" s="30"/>
      <c r="AI51" s="172" t="s">
        <v>608</v>
      </c>
      <c r="AJ51" s="29"/>
      <c r="AK51" s="29"/>
      <c r="AL51" s="30"/>
      <c r="AM51" s="55"/>
      <c r="AN51" s="29"/>
      <c r="AO51" s="29"/>
      <c r="AP51" s="30"/>
      <c r="AQ51" s="55"/>
      <c r="AR51" s="29"/>
      <c r="AS51" s="29"/>
      <c r="AT51" s="30"/>
      <c r="AU51" s="172" t="s">
        <v>608</v>
      </c>
      <c r="AV51" s="29"/>
      <c r="AW51" s="29"/>
      <c r="AX51" s="30"/>
      <c r="AY51" s="55"/>
      <c r="AZ51" s="29"/>
      <c r="BA51" s="29"/>
      <c r="BB51" s="30"/>
      <c r="BC51" s="172" t="s">
        <v>608</v>
      </c>
      <c r="BD51" s="29"/>
      <c r="BE51" s="29"/>
      <c r="BF51" s="30"/>
      <c r="BG51" s="55"/>
      <c r="BH51" s="29"/>
      <c r="BI51" s="29"/>
      <c r="BJ51" s="30"/>
      <c r="BK51" s="172" t="s">
        <v>608</v>
      </c>
      <c r="BL51" s="29"/>
      <c r="BM51" s="29"/>
      <c r="BN51" s="30"/>
      <c r="BO51" s="55"/>
      <c r="BP51" s="29"/>
      <c r="BQ51" s="29"/>
      <c r="BR51" s="30"/>
      <c r="BS51" s="55"/>
      <c r="BT51" s="29"/>
      <c r="BU51" s="29"/>
      <c r="BV51" s="30"/>
      <c r="BW51" s="55"/>
      <c r="BX51" s="29"/>
      <c r="BY51" s="29"/>
      <c r="BZ51" s="30"/>
      <c r="CA51" s="31"/>
    </row>
    <row r="52" spans="1:79" hidden="1">
      <c r="B52" s="297"/>
      <c r="C52" s="307" t="s">
        <v>913</v>
      </c>
      <c r="D52" s="299" t="str">
        <f t="shared" si="7"/>
        <v xml:space="preserve"> 755</v>
      </c>
      <c r="E52" s="308" t="s">
        <v>913</v>
      </c>
      <c r="F52" s="301">
        <f t="shared" si="8"/>
        <v>0</v>
      </c>
      <c r="G52" s="302" t="s">
        <v>1063</v>
      </c>
      <c r="H52" s="302" t="s">
        <v>373</v>
      </c>
      <c r="I52" s="302" t="s">
        <v>1102</v>
      </c>
      <c r="J52" s="303">
        <v>37900</v>
      </c>
      <c r="K52" s="312">
        <f t="shared" si="16"/>
        <v>4900</v>
      </c>
      <c r="L52" s="301" t="s">
        <v>69</v>
      </c>
      <c r="M52" s="305">
        <f t="shared" si="15"/>
        <v>33000</v>
      </c>
      <c r="N52" s="305">
        <v>4900</v>
      </c>
      <c r="O52" s="306">
        <f t="shared" si="17"/>
        <v>37900</v>
      </c>
      <c r="P52" s="294"/>
      <c r="Q52" s="292" t="s">
        <v>1155</v>
      </c>
      <c r="R52" s="22"/>
      <c r="S52" s="22">
        <f t="shared" si="2"/>
        <v>37900</v>
      </c>
      <c r="T52" s="22">
        <f t="shared" si="3"/>
        <v>54142.857142857145</v>
      </c>
      <c r="U52" s="23">
        <f t="shared" si="4"/>
        <v>61877.551020408166</v>
      </c>
      <c r="V52" s="24">
        <f t="shared" si="5"/>
        <v>0.125</v>
      </c>
      <c r="W52" s="23">
        <f t="shared" si="12"/>
        <v>61900</v>
      </c>
      <c r="X52" s="164">
        <f t="shared" si="6"/>
        <v>0.30000000000000004</v>
      </c>
      <c r="Y52" s="25"/>
      <c r="Z52" s="25"/>
      <c r="AA52" s="25"/>
      <c r="AB52" s="26"/>
      <c r="AC52" s="26"/>
      <c r="AD52" s="46"/>
      <c r="AE52" s="49"/>
      <c r="AF52" s="29"/>
      <c r="AG52" s="29"/>
      <c r="AH52" s="30"/>
      <c r="AI52" s="172" t="s">
        <v>608</v>
      </c>
      <c r="AJ52" s="29"/>
      <c r="AK52" s="29"/>
      <c r="AL52" s="30"/>
      <c r="AM52" s="55"/>
      <c r="AN52" s="29"/>
      <c r="AO52" s="29"/>
      <c r="AP52" s="30"/>
      <c r="AQ52" s="55"/>
      <c r="AR52" s="29"/>
      <c r="AS52" s="29"/>
      <c r="AT52" s="30"/>
      <c r="AU52" s="172" t="s">
        <v>608</v>
      </c>
      <c r="AV52" s="29"/>
      <c r="AW52" s="29"/>
      <c r="AX52" s="30"/>
      <c r="AY52" s="55"/>
      <c r="AZ52" s="29"/>
      <c r="BA52" s="29"/>
      <c r="BB52" s="30"/>
      <c r="BC52" s="172" t="s">
        <v>608</v>
      </c>
      <c r="BD52" s="29"/>
      <c r="BE52" s="29"/>
      <c r="BF52" s="30"/>
      <c r="BG52" s="55"/>
      <c r="BH52" s="29"/>
      <c r="BI52" s="29"/>
      <c r="BJ52" s="30"/>
      <c r="BK52" s="172" t="s">
        <v>608</v>
      </c>
      <c r="BL52" s="29"/>
      <c r="BM52" s="29"/>
      <c r="BN52" s="30"/>
      <c r="BO52" s="55"/>
      <c r="BP52" s="29"/>
      <c r="BQ52" s="29"/>
      <c r="BR52" s="30"/>
      <c r="BS52" s="55"/>
      <c r="BT52" s="29"/>
      <c r="BU52" s="29"/>
      <c r="BV52" s="30"/>
      <c r="BW52" s="55"/>
      <c r="BX52" s="29"/>
      <c r="BY52" s="29"/>
      <c r="BZ52" s="30"/>
      <c r="CA52" s="31"/>
    </row>
    <row r="53" spans="1:79" hidden="1">
      <c r="B53" s="297"/>
      <c r="C53" s="307" t="s">
        <v>914</v>
      </c>
      <c r="D53" s="299" t="str">
        <f t="shared" si="7"/>
        <v xml:space="preserve"> 673</v>
      </c>
      <c r="E53" s="308" t="s">
        <v>914</v>
      </c>
      <c r="F53" s="301">
        <f t="shared" si="8"/>
        <v>0</v>
      </c>
      <c r="G53" s="302" t="s">
        <v>1063</v>
      </c>
      <c r="H53" s="302" t="s">
        <v>292</v>
      </c>
      <c r="I53" s="302" t="s">
        <v>1102</v>
      </c>
      <c r="J53" s="303">
        <v>67500</v>
      </c>
      <c r="K53" s="312">
        <f t="shared" si="16"/>
        <v>7500</v>
      </c>
      <c r="L53" s="301" t="s">
        <v>69</v>
      </c>
      <c r="M53" s="305">
        <f t="shared" si="15"/>
        <v>60000</v>
      </c>
      <c r="N53" s="305">
        <v>7500</v>
      </c>
      <c r="O53" s="306">
        <f t="shared" si="17"/>
        <v>67500</v>
      </c>
      <c r="P53" s="294"/>
      <c r="Q53" s="292" t="s">
        <v>1157</v>
      </c>
      <c r="R53" s="22"/>
      <c r="S53" s="22">
        <f t="shared" si="2"/>
        <v>67500</v>
      </c>
      <c r="T53" s="22">
        <f t="shared" si="3"/>
        <v>96428.571428571435</v>
      </c>
      <c r="U53" s="23">
        <f t="shared" si="4"/>
        <v>110204.08163265306</v>
      </c>
      <c r="V53" s="24">
        <f t="shared" si="5"/>
        <v>0.12499999999999994</v>
      </c>
      <c r="W53" s="23">
        <f t="shared" si="12"/>
        <v>110300</v>
      </c>
      <c r="X53" s="164">
        <f t="shared" si="6"/>
        <v>0.30000000000000004</v>
      </c>
      <c r="Y53" s="253">
        <v>185714.28571428574</v>
      </c>
      <c r="Z53" s="188">
        <f>T53-Y53</f>
        <v>-89285.714285714304</v>
      </c>
      <c r="AA53" s="189">
        <f>Z53/Y53</f>
        <v>-0.48076923076923078</v>
      </c>
      <c r="AB53" s="34"/>
      <c r="AC53" s="26"/>
      <c r="AD53" s="35"/>
      <c r="AE53" s="36"/>
      <c r="AF53" s="29"/>
      <c r="AG53" s="29"/>
      <c r="AH53" s="30"/>
      <c r="AI53" s="172" t="s">
        <v>608</v>
      </c>
      <c r="AJ53" s="29"/>
      <c r="AK53" s="29"/>
      <c r="AL53" s="30"/>
      <c r="AM53" s="55"/>
      <c r="AN53" s="29"/>
      <c r="AO53" s="29"/>
      <c r="AP53" s="30"/>
      <c r="AQ53" s="55"/>
      <c r="AR53" s="29"/>
      <c r="AS53" s="29"/>
      <c r="AT53" s="30"/>
      <c r="AU53" s="172" t="s">
        <v>608</v>
      </c>
      <c r="AV53" s="29"/>
      <c r="AW53" s="29"/>
      <c r="AX53" s="30"/>
      <c r="AY53" s="55"/>
      <c r="AZ53" s="29"/>
      <c r="BA53" s="29"/>
      <c r="BB53" s="30"/>
      <c r="BC53" s="172" t="s">
        <v>608</v>
      </c>
      <c r="BD53" s="29"/>
      <c r="BE53" s="29"/>
      <c r="BF53" s="30"/>
      <c r="BG53" s="55"/>
      <c r="BH53" s="29"/>
      <c r="BI53" s="29"/>
      <c r="BJ53" s="30"/>
      <c r="BK53" s="172" t="s">
        <v>608</v>
      </c>
      <c r="BL53" s="29"/>
      <c r="BM53" s="29"/>
      <c r="BN53" s="30"/>
      <c r="BO53" s="55"/>
      <c r="BP53" s="29"/>
      <c r="BQ53" s="29"/>
      <c r="BR53" s="30"/>
      <c r="BS53" s="55"/>
      <c r="BT53" s="29"/>
      <c r="BU53" s="29"/>
      <c r="BV53" s="30"/>
      <c r="BW53" s="55"/>
      <c r="BX53" s="29"/>
      <c r="BY53" s="29"/>
      <c r="BZ53" s="30"/>
      <c r="CA53" s="31"/>
    </row>
    <row r="54" spans="1:79" hidden="1">
      <c r="B54" s="297"/>
      <c r="C54" s="307" t="s">
        <v>915</v>
      </c>
      <c r="D54" s="299" t="str">
        <f t="shared" si="7"/>
        <v xml:space="preserve"> 801</v>
      </c>
      <c r="E54" s="308" t="s">
        <v>915</v>
      </c>
      <c r="F54" s="301">
        <f t="shared" si="8"/>
        <v>0</v>
      </c>
      <c r="G54" s="302" t="s">
        <v>1063</v>
      </c>
      <c r="H54" s="302" t="s">
        <v>292</v>
      </c>
      <c r="I54" s="302" t="s">
        <v>1102</v>
      </c>
      <c r="J54" s="303">
        <v>67500</v>
      </c>
      <c r="K54" s="312">
        <f t="shared" si="16"/>
        <v>7500</v>
      </c>
      <c r="L54" s="301" t="s">
        <v>69</v>
      </c>
      <c r="M54" s="305">
        <f t="shared" si="15"/>
        <v>60000</v>
      </c>
      <c r="N54" s="305">
        <v>7500</v>
      </c>
      <c r="O54" s="306">
        <f t="shared" si="17"/>
        <v>67500</v>
      </c>
      <c r="P54" s="294"/>
      <c r="Q54" s="292" t="s">
        <v>1157</v>
      </c>
      <c r="R54" s="22"/>
      <c r="S54" s="22">
        <f t="shared" si="2"/>
        <v>67500</v>
      </c>
      <c r="T54" s="22">
        <f t="shared" si="3"/>
        <v>96428.571428571435</v>
      </c>
      <c r="U54" s="23">
        <f t="shared" si="4"/>
        <v>110204.08163265306</v>
      </c>
      <c r="V54" s="24">
        <f t="shared" si="5"/>
        <v>0.12499999999999994</v>
      </c>
      <c r="W54" s="23">
        <f t="shared" si="12"/>
        <v>110300</v>
      </c>
      <c r="X54" s="164">
        <f t="shared" si="6"/>
        <v>0.30000000000000004</v>
      </c>
      <c r="Y54" s="25"/>
      <c r="Z54" s="25"/>
      <c r="AA54" s="25"/>
      <c r="AB54" s="26"/>
      <c r="AC54" s="26"/>
      <c r="AD54" s="46"/>
      <c r="AE54" s="49"/>
      <c r="AF54" s="29"/>
      <c r="AG54" s="29"/>
      <c r="AH54" s="30"/>
      <c r="AI54" s="172" t="s">
        <v>608</v>
      </c>
      <c r="AJ54" s="29"/>
      <c r="AK54" s="29"/>
      <c r="AL54" s="30"/>
      <c r="AM54" s="55"/>
      <c r="AN54" s="29"/>
      <c r="AO54" s="29"/>
      <c r="AP54" s="30"/>
      <c r="AQ54" s="55"/>
      <c r="AR54" s="29"/>
      <c r="AS54" s="29"/>
      <c r="AT54" s="30"/>
      <c r="AU54" s="172" t="s">
        <v>608</v>
      </c>
      <c r="AV54" s="29"/>
      <c r="AW54" s="29"/>
      <c r="AX54" s="30"/>
      <c r="AY54" s="55"/>
      <c r="AZ54" s="29"/>
      <c r="BA54" s="29"/>
      <c r="BB54" s="30"/>
      <c r="BC54" s="172" t="s">
        <v>608</v>
      </c>
      <c r="BD54" s="29"/>
      <c r="BE54" s="29"/>
      <c r="BF54" s="30"/>
      <c r="BG54" s="55"/>
      <c r="BH54" s="29"/>
      <c r="BI54" s="29"/>
      <c r="BJ54" s="30"/>
      <c r="BK54" s="172" t="s">
        <v>608</v>
      </c>
      <c r="BL54" s="29"/>
      <c r="BM54" s="29"/>
      <c r="BN54" s="30"/>
      <c r="BO54" s="55"/>
      <c r="BP54" s="29"/>
      <c r="BQ54" s="29"/>
      <c r="BR54" s="30"/>
      <c r="BS54" s="55"/>
      <c r="BT54" s="29"/>
      <c r="BU54" s="29"/>
      <c r="BV54" s="30"/>
      <c r="BW54" s="55"/>
      <c r="BX54" s="29"/>
      <c r="BY54" s="29"/>
      <c r="BZ54" s="30"/>
      <c r="CA54" s="31"/>
    </row>
    <row r="55" spans="1:79" hidden="1">
      <c r="A55" s="71"/>
      <c r="B55" s="297"/>
      <c r="C55" s="307" t="s">
        <v>916</v>
      </c>
      <c r="D55" s="299" t="str">
        <f t="shared" si="7"/>
        <v xml:space="preserve"> 406</v>
      </c>
      <c r="E55" s="308" t="s">
        <v>916</v>
      </c>
      <c r="F55" s="301">
        <f t="shared" si="8"/>
        <v>0</v>
      </c>
      <c r="G55" s="302" t="s">
        <v>1063</v>
      </c>
      <c r="H55" s="302" t="s">
        <v>373</v>
      </c>
      <c r="I55" s="302" t="s">
        <v>1102</v>
      </c>
      <c r="J55" s="303">
        <v>37900</v>
      </c>
      <c r="K55" s="304">
        <f t="shared" si="16"/>
        <v>4900</v>
      </c>
      <c r="L55" s="301" t="s">
        <v>69</v>
      </c>
      <c r="M55" s="305">
        <f t="shared" si="15"/>
        <v>33000</v>
      </c>
      <c r="N55" s="305">
        <v>4900</v>
      </c>
      <c r="O55" s="306">
        <f t="shared" si="17"/>
        <v>37900</v>
      </c>
      <c r="P55" s="293"/>
      <c r="Q55" s="292" t="s">
        <v>1155</v>
      </c>
      <c r="R55" s="22"/>
      <c r="S55" s="22">
        <f t="shared" si="2"/>
        <v>37900</v>
      </c>
      <c r="T55" s="22">
        <f t="shared" si="3"/>
        <v>54142.857142857145</v>
      </c>
      <c r="U55" s="23">
        <f t="shared" si="4"/>
        <v>61877.551020408166</v>
      </c>
      <c r="V55" s="24">
        <f t="shared" si="5"/>
        <v>0.125</v>
      </c>
      <c r="W55" s="23">
        <f t="shared" si="12"/>
        <v>61900</v>
      </c>
      <c r="X55" s="164">
        <f t="shared" si="6"/>
        <v>0.30000000000000004</v>
      </c>
      <c r="Y55" s="25"/>
      <c r="Z55" s="25"/>
      <c r="AA55" s="25"/>
      <c r="AB55" s="34"/>
      <c r="AC55" s="26"/>
      <c r="AD55" s="35"/>
      <c r="AE55" s="36"/>
      <c r="AF55" s="29"/>
      <c r="AG55" s="29"/>
      <c r="AH55" s="30"/>
      <c r="AI55" s="172" t="s">
        <v>608</v>
      </c>
      <c r="AJ55" s="29"/>
      <c r="AK55" s="29"/>
      <c r="AL55" s="30"/>
      <c r="AM55" s="55"/>
      <c r="AN55" s="29"/>
      <c r="AO55" s="29"/>
      <c r="AP55" s="30"/>
      <c r="AQ55" s="55"/>
      <c r="AR55" s="29"/>
      <c r="AS55" s="29"/>
      <c r="AT55" s="30"/>
      <c r="AU55" s="172" t="s">
        <v>608</v>
      </c>
      <c r="AV55" s="29"/>
      <c r="AW55" s="29"/>
      <c r="AX55" s="30"/>
      <c r="AY55" s="55"/>
      <c r="AZ55" s="29"/>
      <c r="BA55" s="29"/>
      <c r="BB55" s="30"/>
      <c r="BC55" s="172" t="s">
        <v>608</v>
      </c>
      <c r="BD55" s="29"/>
      <c r="BE55" s="29"/>
      <c r="BF55" s="30"/>
      <c r="BG55" s="55"/>
      <c r="BH55" s="29"/>
      <c r="BI55" s="29"/>
      <c r="BJ55" s="30"/>
      <c r="BK55" s="172" t="s">
        <v>608</v>
      </c>
      <c r="BL55" s="29"/>
      <c r="BM55" s="29"/>
      <c r="BN55" s="30"/>
      <c r="BO55" s="55"/>
      <c r="BP55" s="29"/>
      <c r="BQ55" s="29"/>
      <c r="BR55" s="30"/>
      <c r="BS55" s="55"/>
      <c r="BT55" s="29"/>
      <c r="BU55" s="29"/>
      <c r="BV55" s="30"/>
      <c r="BW55" s="55"/>
      <c r="BX55" s="29"/>
      <c r="BY55" s="29"/>
      <c r="BZ55" s="30"/>
      <c r="CA55" s="31"/>
    </row>
    <row r="56" spans="1:79" hidden="1">
      <c r="A56" s="71"/>
      <c r="B56" s="297"/>
      <c r="C56" s="307" t="s">
        <v>917</v>
      </c>
      <c r="D56" s="299" t="str">
        <f t="shared" si="7"/>
        <v xml:space="preserve"> 914</v>
      </c>
      <c r="E56" s="308" t="s">
        <v>917</v>
      </c>
      <c r="F56" s="301">
        <f t="shared" si="8"/>
        <v>0</v>
      </c>
      <c r="G56" s="302" t="s">
        <v>1063</v>
      </c>
      <c r="H56" s="302" t="s">
        <v>373</v>
      </c>
      <c r="I56" s="302" t="s">
        <v>1102</v>
      </c>
      <c r="J56" s="303">
        <v>40900</v>
      </c>
      <c r="K56" s="304">
        <f t="shared" si="16"/>
        <v>5900</v>
      </c>
      <c r="L56" s="301" t="s">
        <v>69</v>
      </c>
      <c r="M56" s="305">
        <f t="shared" si="15"/>
        <v>35000</v>
      </c>
      <c r="N56" s="305">
        <v>5900</v>
      </c>
      <c r="O56" s="306">
        <f t="shared" si="17"/>
        <v>40900</v>
      </c>
      <c r="P56" s="293"/>
      <c r="Q56" s="292" t="s">
        <v>1153</v>
      </c>
      <c r="R56" s="22"/>
      <c r="S56" s="22">
        <f t="shared" si="2"/>
        <v>40900</v>
      </c>
      <c r="T56" s="22">
        <f t="shared" si="3"/>
        <v>58428.571428571435</v>
      </c>
      <c r="U56" s="23">
        <f t="shared" si="4"/>
        <v>66775.510204081642</v>
      </c>
      <c r="V56" s="24">
        <f t="shared" si="5"/>
        <v>0.12500000000000003</v>
      </c>
      <c r="W56" s="23">
        <f t="shared" si="12"/>
        <v>66800</v>
      </c>
      <c r="X56" s="164">
        <f t="shared" si="6"/>
        <v>0.3000000000000001</v>
      </c>
      <c r="Y56" s="25"/>
      <c r="Z56" s="25"/>
      <c r="AA56" s="37"/>
      <c r="AB56" s="34"/>
      <c r="AC56" s="26"/>
      <c r="AD56" s="35"/>
      <c r="AE56" s="36"/>
      <c r="AF56" s="29"/>
      <c r="AG56" s="29"/>
      <c r="AH56" s="30"/>
      <c r="AI56" s="172" t="s">
        <v>608</v>
      </c>
      <c r="AJ56" s="29"/>
      <c r="AK56" s="29"/>
      <c r="AL56" s="30"/>
      <c r="AM56" s="55"/>
      <c r="AN56" s="29"/>
      <c r="AO56" s="29"/>
      <c r="AP56" s="30"/>
      <c r="AQ56" s="55"/>
      <c r="AR56" s="29"/>
      <c r="AS56" s="29"/>
      <c r="AT56" s="30"/>
      <c r="AU56" s="172" t="s">
        <v>608</v>
      </c>
      <c r="AV56" s="29"/>
      <c r="AW56" s="29"/>
      <c r="AX56" s="30"/>
      <c r="AY56" s="55"/>
      <c r="AZ56" s="29"/>
      <c r="BA56" s="29"/>
      <c r="BB56" s="30"/>
      <c r="BC56" s="172" t="s">
        <v>608</v>
      </c>
      <c r="BD56" s="29"/>
      <c r="BE56" s="29"/>
      <c r="BF56" s="30"/>
      <c r="BG56" s="55"/>
      <c r="BH56" s="29"/>
      <c r="BI56" s="29"/>
      <c r="BJ56" s="30"/>
      <c r="BK56" s="172" t="s">
        <v>608</v>
      </c>
      <c r="BL56" s="29"/>
      <c r="BM56" s="29"/>
      <c r="BN56" s="30"/>
      <c r="BO56" s="55"/>
      <c r="BP56" s="29"/>
      <c r="BQ56" s="29"/>
      <c r="BR56" s="30"/>
      <c r="BS56" s="55"/>
      <c r="BT56" s="29"/>
      <c r="BU56" s="29"/>
      <c r="BV56" s="30"/>
      <c r="BW56" s="55"/>
      <c r="BX56" s="29"/>
      <c r="BY56" s="29"/>
      <c r="BZ56" s="30"/>
      <c r="CA56" s="31"/>
    </row>
    <row r="57" spans="1:79" hidden="1">
      <c r="B57" s="297"/>
      <c r="C57" s="307" t="s">
        <v>918</v>
      </c>
      <c r="D57" s="299" t="str">
        <f t="shared" si="7"/>
        <v xml:space="preserve"> 131</v>
      </c>
      <c r="E57" s="308" t="s">
        <v>918</v>
      </c>
      <c r="F57" s="301">
        <f t="shared" si="8"/>
        <v>0</v>
      </c>
      <c r="G57" s="302" t="s">
        <v>1063</v>
      </c>
      <c r="H57" s="302" t="s">
        <v>292</v>
      </c>
      <c r="I57" s="302" t="s">
        <v>1102</v>
      </c>
      <c r="J57" s="303">
        <v>58400</v>
      </c>
      <c r="K57" s="312">
        <f t="shared" si="16"/>
        <v>5900</v>
      </c>
      <c r="L57" s="301" t="s">
        <v>69</v>
      </c>
      <c r="M57" s="305">
        <f t="shared" si="15"/>
        <v>52500</v>
      </c>
      <c r="N57" s="305">
        <v>5900</v>
      </c>
      <c r="O57" s="306">
        <f t="shared" si="17"/>
        <v>58400</v>
      </c>
      <c r="P57" s="294"/>
      <c r="Q57" s="292" t="s">
        <v>1147</v>
      </c>
      <c r="R57" s="22"/>
      <c r="S57" s="22">
        <f t="shared" si="2"/>
        <v>58400</v>
      </c>
      <c r="T57" s="22">
        <f t="shared" si="3"/>
        <v>83428.571428571435</v>
      </c>
      <c r="U57" s="23">
        <f t="shared" si="4"/>
        <v>95346.938775510207</v>
      </c>
      <c r="V57" s="24">
        <f t="shared" si="5"/>
        <v>0.12499999999999996</v>
      </c>
      <c r="W57" s="23">
        <f t="shared" si="12"/>
        <v>95400</v>
      </c>
      <c r="X57" s="164">
        <f t="shared" si="6"/>
        <v>0.30000000000000004</v>
      </c>
      <c r="Y57" s="253">
        <v>180357.14285714287</v>
      </c>
      <c r="Z57" s="188">
        <f>T57-Y57</f>
        <v>-96928.571428571435</v>
      </c>
      <c r="AA57" s="189">
        <f>Z57/Y57</f>
        <v>-0.53742574257425746</v>
      </c>
      <c r="AB57" s="34"/>
      <c r="AC57" s="26"/>
      <c r="AD57" s="35"/>
      <c r="AE57" s="36"/>
      <c r="AF57" s="29"/>
      <c r="AG57" s="29"/>
      <c r="AH57" s="30"/>
      <c r="AI57" s="172" t="s">
        <v>608</v>
      </c>
      <c r="AJ57" s="29"/>
      <c r="AK57" s="29"/>
      <c r="AL57" s="30"/>
      <c r="AM57" s="55"/>
      <c r="AN57" s="29"/>
      <c r="AO57" s="29"/>
      <c r="AP57" s="30"/>
      <c r="AQ57" s="55"/>
      <c r="AR57" s="29"/>
      <c r="AS57" s="29"/>
      <c r="AT57" s="30"/>
      <c r="AU57" s="172" t="s">
        <v>608</v>
      </c>
      <c r="AV57" s="29"/>
      <c r="AW57" s="29"/>
      <c r="AX57" s="30"/>
      <c r="AY57" s="55"/>
      <c r="AZ57" s="29"/>
      <c r="BA57" s="29"/>
      <c r="BB57" s="30"/>
      <c r="BC57" s="172" t="s">
        <v>608</v>
      </c>
      <c r="BD57" s="29"/>
      <c r="BE57" s="29"/>
      <c r="BF57" s="30"/>
      <c r="BG57" s="55"/>
      <c r="BH57" s="29"/>
      <c r="BI57" s="29"/>
      <c r="BJ57" s="30"/>
      <c r="BK57" s="172" t="s">
        <v>608</v>
      </c>
      <c r="BL57" s="29"/>
      <c r="BM57" s="29"/>
      <c r="BN57" s="30"/>
      <c r="BO57" s="55"/>
      <c r="BP57" s="29"/>
      <c r="BQ57" s="29"/>
      <c r="BR57" s="30"/>
      <c r="BS57" s="55"/>
      <c r="BT57" s="29"/>
      <c r="BU57" s="29"/>
      <c r="BV57" s="30"/>
      <c r="BW57" s="55"/>
      <c r="BX57" s="29"/>
      <c r="BY57" s="29"/>
      <c r="BZ57" s="30"/>
      <c r="CA57" s="31"/>
    </row>
    <row r="58" spans="1:79" hidden="1">
      <c r="B58" s="297"/>
      <c r="C58" s="307" t="s">
        <v>919</v>
      </c>
      <c r="D58" s="299" t="str">
        <f t="shared" si="7"/>
        <v xml:space="preserve"> 946</v>
      </c>
      <c r="E58" s="308" t="s">
        <v>919</v>
      </c>
      <c r="F58" s="301">
        <f t="shared" si="8"/>
        <v>0</v>
      </c>
      <c r="G58" s="302" t="s">
        <v>1063</v>
      </c>
      <c r="H58" s="302" t="s">
        <v>373</v>
      </c>
      <c r="I58" s="302" t="s">
        <v>1103</v>
      </c>
      <c r="J58" s="303">
        <v>38000</v>
      </c>
      <c r="K58" s="312">
        <f t="shared" si="16"/>
        <v>5900</v>
      </c>
      <c r="L58" s="301" t="s">
        <v>69</v>
      </c>
      <c r="M58" s="305">
        <f t="shared" si="15"/>
        <v>32100</v>
      </c>
      <c r="N58" s="305">
        <v>5900</v>
      </c>
      <c r="O58" s="306">
        <f t="shared" si="17"/>
        <v>38000</v>
      </c>
      <c r="P58" s="294"/>
      <c r="Q58" s="292" t="s">
        <v>1153</v>
      </c>
      <c r="R58" s="22"/>
      <c r="S58" s="22">
        <f t="shared" si="2"/>
        <v>38000</v>
      </c>
      <c r="T58" s="22">
        <f t="shared" si="3"/>
        <v>54285.71428571429</v>
      </c>
      <c r="U58" s="23">
        <f t="shared" si="4"/>
        <v>62040.816326530614</v>
      </c>
      <c r="V58" s="24">
        <f t="shared" si="5"/>
        <v>0.12499999999999996</v>
      </c>
      <c r="W58" s="23">
        <f t="shared" si="12"/>
        <v>62100</v>
      </c>
      <c r="X58" s="164">
        <f t="shared" si="6"/>
        <v>0.30000000000000004</v>
      </c>
      <c r="Y58" s="25"/>
      <c r="Z58" s="25"/>
      <c r="AA58" s="25"/>
      <c r="AB58" s="34"/>
      <c r="AC58" s="26"/>
      <c r="AD58" s="35"/>
      <c r="AE58" s="36"/>
      <c r="AF58" s="29"/>
      <c r="AG58" s="29"/>
      <c r="AH58" s="30"/>
      <c r="AI58" s="172" t="s">
        <v>608</v>
      </c>
      <c r="AJ58" s="29"/>
      <c r="AK58" s="29"/>
      <c r="AL58" s="30"/>
      <c r="AM58" s="55"/>
      <c r="AN58" s="29"/>
      <c r="AO58" s="29"/>
      <c r="AP58" s="30"/>
      <c r="AQ58" s="55"/>
      <c r="AR58" s="29"/>
      <c r="AS58" s="29"/>
      <c r="AT58" s="30"/>
      <c r="AU58" s="172" t="s">
        <v>608</v>
      </c>
      <c r="AV58" s="29"/>
      <c r="AW58" s="29"/>
      <c r="AX58" s="30"/>
      <c r="AY58" s="55"/>
      <c r="AZ58" s="29"/>
      <c r="BA58" s="29"/>
      <c r="BB58" s="30"/>
      <c r="BC58" s="172" t="s">
        <v>608</v>
      </c>
      <c r="BD58" s="29"/>
      <c r="BE58" s="29"/>
      <c r="BF58" s="30"/>
      <c r="BG58" s="55"/>
      <c r="BH58" s="29"/>
      <c r="BI58" s="29"/>
      <c r="BJ58" s="30"/>
      <c r="BK58" s="172" t="s">
        <v>608</v>
      </c>
      <c r="BL58" s="29"/>
      <c r="BM58" s="29"/>
      <c r="BN58" s="30"/>
      <c r="BO58" s="55"/>
      <c r="BP58" s="29"/>
      <c r="BQ58" s="29"/>
      <c r="BR58" s="30"/>
      <c r="BS58" s="55"/>
      <c r="BT58" s="29"/>
      <c r="BU58" s="29"/>
      <c r="BV58" s="30"/>
      <c r="BW58" s="55"/>
      <c r="BX58" s="29"/>
      <c r="BY58" s="29"/>
      <c r="BZ58" s="30"/>
      <c r="CA58" s="31"/>
    </row>
    <row r="59" spans="1:79" hidden="1">
      <c r="B59" s="297"/>
      <c r="C59" s="307" t="s">
        <v>920</v>
      </c>
      <c r="D59" s="299" t="str">
        <f t="shared" si="7"/>
        <v xml:space="preserve"> 418</v>
      </c>
      <c r="E59" s="308" t="s">
        <v>920</v>
      </c>
      <c r="F59" s="301">
        <f t="shared" si="8"/>
        <v>0</v>
      </c>
      <c r="G59" s="302" t="s">
        <v>1063</v>
      </c>
      <c r="H59" s="302" t="s">
        <v>292</v>
      </c>
      <c r="I59" s="302" t="s">
        <v>1103</v>
      </c>
      <c r="J59" s="303">
        <v>37000</v>
      </c>
      <c r="K59" s="312">
        <f t="shared" si="16"/>
        <v>4900</v>
      </c>
      <c r="L59" s="301" t="s">
        <v>69</v>
      </c>
      <c r="M59" s="305">
        <f t="shared" si="15"/>
        <v>32100</v>
      </c>
      <c r="N59" s="305">
        <v>4900</v>
      </c>
      <c r="O59" s="306">
        <f t="shared" si="17"/>
        <v>37000</v>
      </c>
      <c r="P59" s="295"/>
      <c r="Q59" s="292" t="s">
        <v>1155</v>
      </c>
      <c r="R59" s="22"/>
      <c r="S59" s="22">
        <f t="shared" si="2"/>
        <v>37000</v>
      </c>
      <c r="T59" s="22">
        <f t="shared" si="3"/>
        <v>52857.142857142862</v>
      </c>
      <c r="U59" s="23">
        <f t="shared" si="4"/>
        <v>60408.163265306132</v>
      </c>
      <c r="V59" s="24">
        <f t="shared" si="5"/>
        <v>0.12500000000000006</v>
      </c>
      <c r="W59" s="23">
        <f t="shared" si="12"/>
        <v>60500</v>
      </c>
      <c r="X59" s="164">
        <f t="shared" si="6"/>
        <v>0.30000000000000004</v>
      </c>
      <c r="Y59" s="25"/>
      <c r="Z59" s="25"/>
      <c r="AA59" s="25"/>
      <c r="AB59" s="34"/>
      <c r="AC59" s="26"/>
      <c r="AD59" s="35"/>
      <c r="AE59" s="36"/>
      <c r="AF59" s="29"/>
      <c r="AG59" s="29"/>
      <c r="AH59" s="30"/>
      <c r="AI59" s="172" t="s">
        <v>608</v>
      </c>
      <c r="AJ59" s="29"/>
      <c r="AK59" s="29"/>
      <c r="AL59" s="30"/>
      <c r="AM59" s="55"/>
      <c r="AN59" s="29"/>
      <c r="AO59" s="29"/>
      <c r="AP59" s="30"/>
      <c r="AQ59" s="55"/>
      <c r="AR59" s="29"/>
      <c r="AS59" s="29"/>
      <c r="AT59" s="30"/>
      <c r="AU59" s="172" t="s">
        <v>608</v>
      </c>
      <c r="AV59" s="29"/>
      <c r="AW59" s="29"/>
      <c r="AX59" s="30"/>
      <c r="AY59" s="55"/>
      <c r="AZ59" s="29"/>
      <c r="BA59" s="29"/>
      <c r="BB59" s="30"/>
      <c r="BC59" s="172" t="s">
        <v>608</v>
      </c>
      <c r="BD59" s="29"/>
      <c r="BE59" s="29"/>
      <c r="BF59" s="30"/>
      <c r="BG59" s="55"/>
      <c r="BH59" s="29"/>
      <c r="BI59" s="29"/>
      <c r="BJ59" s="30"/>
      <c r="BK59" s="172" t="s">
        <v>608</v>
      </c>
      <c r="BL59" s="29"/>
      <c r="BM59" s="29"/>
      <c r="BN59" s="30"/>
      <c r="BO59" s="55"/>
      <c r="BP59" s="29"/>
      <c r="BQ59" s="29"/>
      <c r="BR59" s="30"/>
      <c r="BS59" s="55"/>
      <c r="BT59" s="29"/>
      <c r="BU59" s="29"/>
      <c r="BV59" s="30"/>
      <c r="BW59" s="55"/>
      <c r="BX59" s="29"/>
      <c r="BY59" s="29"/>
      <c r="BZ59" s="30"/>
      <c r="CA59" s="31"/>
    </row>
    <row r="60" spans="1:79" hidden="1">
      <c r="B60" s="297"/>
      <c r="C60" s="307" t="s">
        <v>921</v>
      </c>
      <c r="D60" s="299" t="str">
        <f t="shared" si="7"/>
        <v xml:space="preserve"> 585</v>
      </c>
      <c r="E60" s="308" t="s">
        <v>921</v>
      </c>
      <c r="F60" s="301">
        <f t="shared" si="8"/>
        <v>0</v>
      </c>
      <c r="G60" s="302" t="s">
        <v>1063</v>
      </c>
      <c r="H60" s="302" t="s">
        <v>292</v>
      </c>
      <c r="I60" s="302" t="s">
        <v>1103</v>
      </c>
      <c r="J60" s="303">
        <v>60000</v>
      </c>
      <c r="K60" s="312">
        <f t="shared" si="16"/>
        <v>5900</v>
      </c>
      <c r="L60" s="301" t="s">
        <v>69</v>
      </c>
      <c r="M60" s="305">
        <f t="shared" si="15"/>
        <v>54100</v>
      </c>
      <c r="N60" s="305">
        <v>5900</v>
      </c>
      <c r="O60" s="306">
        <f t="shared" si="17"/>
        <v>60000</v>
      </c>
      <c r="P60" s="295"/>
      <c r="Q60" s="292" t="s">
        <v>1147</v>
      </c>
      <c r="R60" s="22"/>
      <c r="S60" s="22">
        <f t="shared" si="2"/>
        <v>60000</v>
      </c>
      <c r="T60" s="22">
        <f t="shared" si="3"/>
        <v>85714.285714285725</v>
      </c>
      <c r="U60" s="23">
        <f t="shared" si="4"/>
        <v>97959.183673469393</v>
      </c>
      <c r="V60" s="24">
        <f t="shared" si="5"/>
        <v>0.12499999999999994</v>
      </c>
      <c r="W60" s="23">
        <f t="shared" si="12"/>
        <v>98000</v>
      </c>
      <c r="X60" s="164">
        <f t="shared" si="6"/>
        <v>0.3000000000000001</v>
      </c>
      <c r="Y60" s="253">
        <v>157142.85714285716</v>
      </c>
      <c r="Z60" s="188">
        <f>T60-Y60</f>
        <v>-71428.571428571435</v>
      </c>
      <c r="AA60" s="189">
        <f>Z60/Y60</f>
        <v>-0.45454545454545453</v>
      </c>
      <c r="AB60" s="34"/>
      <c r="AC60" s="26"/>
      <c r="AD60" s="35"/>
      <c r="AE60" s="36"/>
      <c r="AF60" s="29"/>
      <c r="AG60" s="29"/>
      <c r="AH60" s="30"/>
      <c r="AI60" s="172" t="s">
        <v>608</v>
      </c>
      <c r="AJ60" s="29"/>
      <c r="AK60" s="29"/>
      <c r="AL60" s="30"/>
      <c r="AM60" s="55"/>
      <c r="AN60" s="29"/>
      <c r="AO60" s="29"/>
      <c r="AP60" s="30"/>
      <c r="AQ60" s="55"/>
      <c r="AR60" s="29"/>
      <c r="AS60" s="29"/>
      <c r="AT60" s="30"/>
      <c r="AU60" s="172" t="s">
        <v>608</v>
      </c>
      <c r="AV60" s="29"/>
      <c r="AW60" s="29"/>
      <c r="AX60" s="30"/>
      <c r="AY60" s="55"/>
      <c r="AZ60" s="29"/>
      <c r="BA60" s="29"/>
      <c r="BB60" s="30"/>
      <c r="BC60" s="172" t="s">
        <v>608</v>
      </c>
      <c r="BD60" s="29"/>
      <c r="BE60" s="29"/>
      <c r="BF60" s="30"/>
      <c r="BG60" s="55"/>
      <c r="BH60" s="29"/>
      <c r="BI60" s="29"/>
      <c r="BJ60" s="30"/>
      <c r="BK60" s="172" t="s">
        <v>608</v>
      </c>
      <c r="BL60" s="29"/>
      <c r="BM60" s="29"/>
      <c r="BN60" s="30"/>
      <c r="BO60" s="55"/>
      <c r="BP60" s="29"/>
      <c r="BQ60" s="29"/>
      <c r="BR60" s="30"/>
      <c r="BS60" s="55"/>
      <c r="BT60" s="29"/>
      <c r="BU60" s="29"/>
      <c r="BV60" s="30"/>
      <c r="BW60" s="55"/>
      <c r="BX60" s="29"/>
      <c r="BY60" s="29"/>
      <c r="BZ60" s="30"/>
      <c r="CA60" s="31"/>
    </row>
    <row r="61" spans="1:79" hidden="1">
      <c r="A61" s="71"/>
      <c r="B61" s="297"/>
      <c r="C61" s="307" t="s">
        <v>922</v>
      </c>
      <c r="D61" s="299" t="str">
        <f t="shared" si="7"/>
        <v xml:space="preserve"> 354</v>
      </c>
      <c r="E61" s="308" t="s">
        <v>922</v>
      </c>
      <c r="F61" s="301">
        <f t="shared" si="8"/>
        <v>0</v>
      </c>
      <c r="G61" s="302" t="s">
        <v>1063</v>
      </c>
      <c r="H61" s="302" t="s">
        <v>292</v>
      </c>
      <c r="I61" s="302" t="s">
        <v>1103</v>
      </c>
      <c r="J61" s="303">
        <v>69000</v>
      </c>
      <c r="K61" s="304">
        <f t="shared" si="16"/>
        <v>6900</v>
      </c>
      <c r="L61" s="301" t="s">
        <v>69</v>
      </c>
      <c r="M61" s="305">
        <f t="shared" si="15"/>
        <v>62100</v>
      </c>
      <c r="N61" s="305">
        <v>6900</v>
      </c>
      <c r="O61" s="306">
        <f t="shared" si="17"/>
        <v>69000</v>
      </c>
      <c r="P61" s="293"/>
      <c r="Q61" s="292" t="s">
        <v>1158</v>
      </c>
      <c r="R61" s="22"/>
      <c r="S61" s="22">
        <f t="shared" si="2"/>
        <v>69000</v>
      </c>
      <c r="T61" s="22">
        <f>S61/0.7</f>
        <v>98571.42857142858</v>
      </c>
      <c r="U61" s="23">
        <f t="shared" si="4"/>
        <v>112653.06122448981</v>
      </c>
      <c r="V61" s="24">
        <f t="shared" si="5"/>
        <v>0.12500000000000003</v>
      </c>
      <c r="W61" s="23">
        <f t="shared" si="12"/>
        <v>112700</v>
      </c>
      <c r="X61" s="164">
        <f t="shared" si="6"/>
        <v>0.30000000000000004</v>
      </c>
      <c r="Y61" s="25"/>
      <c r="Z61" s="25"/>
      <c r="AA61" s="25"/>
      <c r="AB61" s="34"/>
      <c r="AC61" s="26"/>
      <c r="AD61" s="35"/>
      <c r="AE61" s="36"/>
      <c r="AF61" s="29"/>
      <c r="AG61" s="29"/>
      <c r="AH61" s="30"/>
      <c r="AI61" s="172" t="s">
        <v>608</v>
      </c>
      <c r="AJ61" s="29"/>
      <c r="AK61" s="29"/>
      <c r="AL61" s="30"/>
      <c r="AM61" s="55"/>
      <c r="AN61" s="29"/>
      <c r="AO61" s="29"/>
      <c r="AP61" s="30"/>
      <c r="AQ61" s="55"/>
      <c r="AR61" s="29"/>
      <c r="AS61" s="29"/>
      <c r="AT61" s="30"/>
      <c r="AU61" s="172" t="s">
        <v>608</v>
      </c>
      <c r="AV61" s="29"/>
      <c r="AW61" s="29"/>
      <c r="AX61" s="30"/>
      <c r="AY61" s="55"/>
      <c r="AZ61" s="29"/>
      <c r="BA61" s="29"/>
      <c r="BB61" s="30"/>
      <c r="BC61" s="172" t="s">
        <v>608</v>
      </c>
      <c r="BD61" s="29"/>
      <c r="BE61" s="29"/>
      <c r="BF61" s="30"/>
      <c r="BG61" s="55"/>
      <c r="BH61" s="29"/>
      <c r="BI61" s="29"/>
      <c r="BJ61" s="30"/>
      <c r="BK61" s="172" t="s">
        <v>608</v>
      </c>
      <c r="BL61" s="29"/>
      <c r="BM61" s="29"/>
      <c r="BN61" s="30"/>
      <c r="BO61" s="55"/>
      <c r="BP61" s="29"/>
      <c r="BQ61" s="29"/>
      <c r="BR61" s="30"/>
      <c r="BS61" s="55"/>
      <c r="BT61" s="29"/>
      <c r="BU61" s="29"/>
      <c r="BV61" s="30"/>
      <c r="BW61" s="55"/>
      <c r="BX61" s="29"/>
      <c r="BY61" s="29"/>
      <c r="BZ61" s="30"/>
      <c r="CA61" s="31"/>
    </row>
    <row r="62" spans="1:79" hidden="1">
      <c r="B62" s="297"/>
      <c r="C62" s="307" t="s">
        <v>923</v>
      </c>
      <c r="D62" s="299" t="str">
        <f t="shared" si="7"/>
        <v xml:space="preserve"> 122</v>
      </c>
      <c r="E62" s="308" t="s">
        <v>923</v>
      </c>
      <c r="F62" s="301">
        <f t="shared" si="8"/>
        <v>0</v>
      </c>
      <c r="G62" s="302" t="s">
        <v>1063</v>
      </c>
      <c r="H62" s="302" t="s">
        <v>292</v>
      </c>
      <c r="I62" s="302" t="s">
        <v>1103</v>
      </c>
      <c r="J62" s="303">
        <v>60000</v>
      </c>
      <c r="K62" s="312">
        <f t="shared" si="16"/>
        <v>5900</v>
      </c>
      <c r="L62" s="301" t="s">
        <v>69</v>
      </c>
      <c r="M62" s="305">
        <f t="shared" si="15"/>
        <v>54100</v>
      </c>
      <c r="N62" s="305">
        <v>5900</v>
      </c>
      <c r="O62" s="306">
        <f t="shared" si="17"/>
        <v>60000</v>
      </c>
      <c r="P62" s="295"/>
      <c r="Q62" s="292" t="s">
        <v>1147</v>
      </c>
      <c r="R62" s="22"/>
      <c r="S62" s="22">
        <f t="shared" si="2"/>
        <v>60000</v>
      </c>
      <c r="T62" s="22">
        <f t="shared" si="3"/>
        <v>85714.285714285725</v>
      </c>
      <c r="U62" s="23">
        <f t="shared" si="4"/>
        <v>97959.183673469393</v>
      </c>
      <c r="V62" s="24">
        <f t="shared" si="5"/>
        <v>0.12499999999999994</v>
      </c>
      <c r="W62" s="23">
        <f t="shared" si="12"/>
        <v>98000</v>
      </c>
      <c r="X62" s="164">
        <f t="shared" si="6"/>
        <v>0.3000000000000001</v>
      </c>
      <c r="Y62" s="253">
        <v>122857.14285714287</v>
      </c>
      <c r="Z62" s="188">
        <f>T62-Y62</f>
        <v>-37142.857142857145</v>
      </c>
      <c r="AA62" s="189">
        <f>Z62/Y62</f>
        <v>-0.30232558139534882</v>
      </c>
      <c r="AB62" s="26"/>
      <c r="AC62" s="26"/>
      <c r="AD62" s="46"/>
      <c r="AE62" s="28">
        <f>AVERAGE(AI62,AM62,AQ62,AU62,BC62,BK62,BO62,BS62,BW62)</f>
        <v>148725</v>
      </c>
      <c r="AF62" s="40">
        <v>162964.28571428574</v>
      </c>
      <c r="AG62" s="40"/>
      <c r="AH62" s="21">
        <f>(AD62-AF62)/AF62</f>
        <v>-1</v>
      </c>
      <c r="AI62" s="55"/>
      <c r="AJ62" s="41">
        <f>104530/0.7</f>
        <v>149328.57142857145</v>
      </c>
      <c r="AK62" s="38">
        <v>170111</v>
      </c>
      <c r="AL62" s="21">
        <f>(AI62-AJ62)/AJ62</f>
        <v>-1</v>
      </c>
      <c r="AM62" s="55"/>
      <c r="AN62" s="29"/>
      <c r="AO62" s="29"/>
      <c r="AP62" s="30"/>
      <c r="AQ62" s="55"/>
      <c r="AR62" s="29"/>
      <c r="AS62" s="29"/>
      <c r="AT62" s="30"/>
      <c r="AU62" s="59">
        <v>148725</v>
      </c>
      <c r="AV62" s="41">
        <f>108810/0.7</f>
        <v>155442.85714285716</v>
      </c>
      <c r="AW62" s="40">
        <v>160560</v>
      </c>
      <c r="AX62" s="21">
        <f>(AU62-AV62)/AV62</f>
        <v>-4.3217535153019127E-2</v>
      </c>
      <c r="AY62" s="57"/>
      <c r="AZ62" s="29"/>
      <c r="BA62" s="29"/>
      <c r="BB62" s="30"/>
      <c r="BC62" s="55"/>
      <c r="BD62" s="38">
        <v>167940</v>
      </c>
      <c r="BE62" s="40">
        <v>169634</v>
      </c>
      <c r="BF62" s="21">
        <f>(BC62-BD62)/BD62</f>
        <v>-1</v>
      </c>
      <c r="BG62" s="57"/>
      <c r="BH62" s="29"/>
      <c r="BI62" s="29"/>
      <c r="BJ62" s="30"/>
      <c r="BK62" s="172" t="s">
        <v>608</v>
      </c>
      <c r="BL62" s="38">
        <f>145600/0.7</f>
        <v>208000</v>
      </c>
      <c r="BM62" s="40">
        <v>160656</v>
      </c>
      <c r="BN62" s="21" t="e">
        <f>(BK62-BL62)/BL62</f>
        <v>#VALUE!</v>
      </c>
      <c r="BO62" s="57"/>
      <c r="BP62" s="38">
        <f>125985/0.7</f>
        <v>179978.57142857145</v>
      </c>
      <c r="BQ62" s="40">
        <v>178474</v>
      </c>
      <c r="BR62" s="21">
        <f>(BP62-BQ62)/BQ62</f>
        <v>8.4301995168565135E-3</v>
      </c>
      <c r="BS62" s="57"/>
      <c r="BT62" s="29"/>
      <c r="BU62" s="29"/>
      <c r="BV62" s="30"/>
      <c r="BW62" s="55"/>
      <c r="BX62" s="29"/>
      <c r="BY62" s="29"/>
      <c r="BZ62" s="30"/>
      <c r="CA62" s="31"/>
    </row>
    <row r="63" spans="1:79" hidden="1">
      <c r="B63" s="297"/>
      <c r="C63" s="307" t="s">
        <v>924</v>
      </c>
      <c r="D63" s="299" t="str">
        <f t="shared" si="7"/>
        <v xml:space="preserve"> 685</v>
      </c>
      <c r="E63" s="308" t="s">
        <v>924</v>
      </c>
      <c r="F63" s="301">
        <f t="shared" si="8"/>
        <v>0</v>
      </c>
      <c r="G63" s="302" t="s">
        <v>1063</v>
      </c>
      <c r="H63" s="302" t="s">
        <v>292</v>
      </c>
      <c r="I63" s="302" t="s">
        <v>1104</v>
      </c>
      <c r="J63" s="303">
        <v>77000</v>
      </c>
      <c r="K63" s="312">
        <f t="shared" si="16"/>
        <v>5900</v>
      </c>
      <c r="L63" s="301" t="s">
        <v>69</v>
      </c>
      <c r="M63" s="305">
        <f t="shared" si="15"/>
        <v>71100</v>
      </c>
      <c r="N63" s="305">
        <v>5900</v>
      </c>
      <c r="O63" s="306">
        <f t="shared" si="17"/>
        <v>77000</v>
      </c>
      <c r="P63" s="295"/>
      <c r="Q63" s="292" t="s">
        <v>1147</v>
      </c>
      <c r="R63" s="22"/>
      <c r="S63" s="22">
        <f t="shared" si="2"/>
        <v>77000</v>
      </c>
      <c r="T63" s="22">
        <f t="shared" si="3"/>
        <v>110000</v>
      </c>
      <c r="U63" s="23">
        <f t="shared" si="4"/>
        <v>125714.28571428571</v>
      </c>
      <c r="V63" s="24">
        <f t="shared" si="5"/>
        <v>0.12499999999999997</v>
      </c>
      <c r="W63" s="23">
        <f t="shared" si="12"/>
        <v>125800</v>
      </c>
      <c r="X63" s="164">
        <f t="shared" si="6"/>
        <v>0.3</v>
      </c>
      <c r="Y63" s="253">
        <v>157142.85714285716</v>
      </c>
      <c r="Z63" s="188">
        <f>T63-Y63</f>
        <v>-47142.857142857159</v>
      </c>
      <c r="AA63" s="189">
        <f>Z63/Y63</f>
        <v>-0.3000000000000001</v>
      </c>
      <c r="AB63" s="26"/>
      <c r="AC63" s="26"/>
      <c r="AD63" s="46"/>
      <c r="AE63" s="28">
        <f>AVERAGE(AI63,AM63,AQ63,AU63,BC63,BK63,BO63,BS63,BW63)</f>
        <v>208419.875</v>
      </c>
      <c r="AF63" s="40">
        <v>168571.42857142858</v>
      </c>
      <c r="AG63" s="40"/>
      <c r="AH63" s="21">
        <f>(AD63-AF63)/AF63</f>
        <v>-1</v>
      </c>
      <c r="AI63" s="41">
        <f>101659.75/0.7</f>
        <v>145228.21428571429</v>
      </c>
      <c r="AJ63" s="41">
        <f>98175/0.7</f>
        <v>140250</v>
      </c>
      <c r="AK63" s="38">
        <v>173623</v>
      </c>
      <c r="AL63" s="21">
        <f>(AI63-AJ63)/AJ63</f>
        <v>3.5495289024700817E-2</v>
      </c>
      <c r="AM63" s="55"/>
      <c r="AN63" s="29"/>
      <c r="AO63" s="29"/>
      <c r="AP63" s="30"/>
      <c r="AQ63" s="55"/>
      <c r="AR63" s="29"/>
      <c r="AS63" s="29"/>
      <c r="AT63" s="30"/>
      <c r="AU63" s="44">
        <f>148200/0.7</f>
        <v>211714.28571428574</v>
      </c>
      <c r="AV63" s="38">
        <f>129290/0.7</f>
        <v>184700</v>
      </c>
      <c r="AW63" s="29"/>
      <c r="AX63" s="21">
        <f>(AU63-AV63)/AV63</f>
        <v>0.14626034496094065</v>
      </c>
      <c r="AY63" s="55"/>
      <c r="AZ63" s="29"/>
      <c r="BA63" s="29"/>
      <c r="BB63" s="30"/>
      <c r="BC63" s="44">
        <v>214686</v>
      </c>
      <c r="BD63" s="41">
        <v>152734</v>
      </c>
      <c r="BE63" s="40">
        <v>157931</v>
      </c>
      <c r="BF63" s="21">
        <f>(BC63-BD63)/BD63</f>
        <v>0.40562022863278641</v>
      </c>
      <c r="BG63" s="57"/>
      <c r="BH63" s="29"/>
      <c r="BI63" s="29"/>
      <c r="BJ63" s="30"/>
      <c r="BK63" s="44">
        <v>262051</v>
      </c>
      <c r="BL63" s="38">
        <f>137324/0.7</f>
        <v>196177.14285714287</v>
      </c>
      <c r="BM63" s="40">
        <v>172286</v>
      </c>
      <c r="BN63" s="21">
        <f>(BK63-BL63)/BL63</f>
        <v>0.33578762634353782</v>
      </c>
      <c r="BO63" s="57"/>
      <c r="BP63" s="41">
        <f>116504/0.7</f>
        <v>166434.28571428574</v>
      </c>
      <c r="BQ63" s="40">
        <v>169751</v>
      </c>
      <c r="BR63" s="21">
        <f>(BP63-BQ63)/BQ63</f>
        <v>-1.95387024860782E-2</v>
      </c>
      <c r="BS63" s="57"/>
      <c r="BT63" s="29"/>
      <c r="BU63" s="29"/>
      <c r="BV63" s="30"/>
      <c r="BW63" s="55"/>
      <c r="BX63" s="29"/>
      <c r="BY63" s="29"/>
      <c r="BZ63" s="30"/>
      <c r="CA63" s="31"/>
    </row>
    <row r="64" spans="1:79" hidden="1">
      <c r="B64" s="297"/>
      <c r="C64" s="307" t="s">
        <v>925</v>
      </c>
      <c r="D64" s="299" t="str">
        <f t="shared" si="7"/>
        <v xml:space="preserve"> 598</v>
      </c>
      <c r="E64" s="308" t="s">
        <v>925</v>
      </c>
      <c r="F64" s="301">
        <f t="shared" si="8"/>
        <v>0</v>
      </c>
      <c r="G64" s="302" t="s">
        <v>1063</v>
      </c>
      <c r="H64" s="302" t="s">
        <v>292</v>
      </c>
      <c r="I64" s="302" t="s">
        <v>1104</v>
      </c>
      <c r="J64" s="303">
        <v>74000</v>
      </c>
      <c r="K64" s="312">
        <f t="shared" si="16"/>
        <v>6800</v>
      </c>
      <c r="L64" s="301" t="s">
        <v>69</v>
      </c>
      <c r="M64" s="305">
        <f t="shared" si="15"/>
        <v>67200</v>
      </c>
      <c r="N64" s="305">
        <v>6800</v>
      </c>
      <c r="O64" s="306">
        <f t="shared" si="17"/>
        <v>74000</v>
      </c>
      <c r="P64" s="294"/>
      <c r="Q64" s="292" t="s">
        <v>1159</v>
      </c>
      <c r="R64" s="22"/>
      <c r="S64" s="22">
        <f t="shared" si="2"/>
        <v>74000</v>
      </c>
      <c r="T64" s="22">
        <f t="shared" si="3"/>
        <v>105714.28571428572</v>
      </c>
      <c r="U64" s="23">
        <f t="shared" si="4"/>
        <v>120816.32653061226</v>
      </c>
      <c r="V64" s="24">
        <f t="shared" si="5"/>
        <v>0.12500000000000006</v>
      </c>
      <c r="W64" s="23">
        <f t="shared" si="12"/>
        <v>120900</v>
      </c>
      <c r="X64" s="164">
        <f t="shared" si="6"/>
        <v>0.30000000000000004</v>
      </c>
      <c r="Y64" s="25"/>
      <c r="Z64" s="25"/>
      <c r="AA64" s="25"/>
      <c r="AB64" s="34"/>
      <c r="AC64" s="26"/>
      <c r="AD64" s="35"/>
      <c r="AE64" s="36"/>
      <c r="AF64" s="29"/>
      <c r="AG64" s="29"/>
      <c r="AH64" s="30"/>
      <c r="AI64" s="172" t="s">
        <v>608</v>
      </c>
      <c r="AJ64" s="29"/>
      <c r="AK64" s="29"/>
      <c r="AL64" s="30"/>
      <c r="AM64" s="55"/>
      <c r="AN64" s="29"/>
      <c r="AO64" s="29"/>
      <c r="AP64" s="30"/>
      <c r="AQ64" s="55"/>
      <c r="AR64" s="29"/>
      <c r="AS64" s="29"/>
      <c r="AT64" s="30"/>
      <c r="AU64" s="172" t="s">
        <v>608</v>
      </c>
      <c r="AV64" s="29"/>
      <c r="AW64" s="29"/>
      <c r="AX64" s="30"/>
      <c r="AY64" s="55"/>
      <c r="AZ64" s="29"/>
      <c r="BA64" s="29"/>
      <c r="BB64" s="30"/>
      <c r="BC64" s="172" t="s">
        <v>608</v>
      </c>
      <c r="BD64" s="29"/>
      <c r="BE64" s="29"/>
      <c r="BF64" s="30"/>
      <c r="BG64" s="55"/>
      <c r="BH64" s="29"/>
      <c r="BI64" s="29"/>
      <c r="BJ64" s="30"/>
      <c r="BK64" s="172" t="s">
        <v>608</v>
      </c>
      <c r="BL64" s="29"/>
      <c r="BM64" s="29"/>
      <c r="BN64" s="30"/>
      <c r="BO64" s="55"/>
      <c r="BP64" s="29"/>
      <c r="BQ64" s="29"/>
      <c r="BR64" s="30"/>
      <c r="BS64" s="55"/>
      <c r="BT64" s="29"/>
      <c r="BU64" s="29"/>
      <c r="BV64" s="30"/>
      <c r="BW64" s="55"/>
      <c r="BX64" s="29"/>
      <c r="BY64" s="29"/>
      <c r="BZ64" s="30"/>
      <c r="CA64" s="31"/>
    </row>
    <row r="65" spans="1:79" hidden="1">
      <c r="B65" s="297"/>
      <c r="C65" s="307" t="s">
        <v>926</v>
      </c>
      <c r="D65" s="299" t="str">
        <f t="shared" si="7"/>
        <v xml:space="preserve"> 230</v>
      </c>
      <c r="E65" s="308" t="s">
        <v>926</v>
      </c>
      <c r="F65" s="301">
        <f t="shared" si="8"/>
        <v>0</v>
      </c>
      <c r="G65" s="302" t="s">
        <v>1063</v>
      </c>
      <c r="H65" s="302" t="s">
        <v>292</v>
      </c>
      <c r="I65" s="302" t="s">
        <v>1104</v>
      </c>
      <c r="J65" s="303">
        <v>77000</v>
      </c>
      <c r="K65" s="312">
        <f t="shared" si="16"/>
        <v>6500</v>
      </c>
      <c r="L65" s="301" t="s">
        <v>69</v>
      </c>
      <c r="M65" s="305">
        <f t="shared" si="15"/>
        <v>70500</v>
      </c>
      <c r="N65" s="305">
        <v>6500</v>
      </c>
      <c r="O65" s="306">
        <f t="shared" si="17"/>
        <v>77000</v>
      </c>
      <c r="P65" s="294"/>
      <c r="Q65" s="292" t="s">
        <v>1160</v>
      </c>
      <c r="R65" s="22"/>
      <c r="S65" s="22">
        <f t="shared" si="2"/>
        <v>77000</v>
      </c>
      <c r="T65" s="22">
        <f t="shared" si="3"/>
        <v>110000</v>
      </c>
      <c r="U65" s="23">
        <f t="shared" si="4"/>
        <v>125714.28571428571</v>
      </c>
      <c r="V65" s="24">
        <f t="shared" si="5"/>
        <v>0.12499999999999997</v>
      </c>
      <c r="W65" s="23">
        <f t="shared" si="12"/>
        <v>125800</v>
      </c>
      <c r="X65" s="164">
        <f t="shared" si="6"/>
        <v>0.3</v>
      </c>
      <c r="Y65" s="253">
        <v>185714.28571428574</v>
      </c>
      <c r="Z65" s="188">
        <f>T65-Y65</f>
        <v>-75714.285714285739</v>
      </c>
      <c r="AA65" s="189">
        <f>Z65/Y65</f>
        <v>-0.4076923076923078</v>
      </c>
      <c r="AB65" s="34"/>
      <c r="AC65" s="26"/>
      <c r="AD65" s="35"/>
      <c r="AE65" s="36"/>
      <c r="AF65" s="29"/>
      <c r="AG65" s="29"/>
      <c r="AH65" s="30"/>
      <c r="AI65" s="172" t="s">
        <v>608</v>
      </c>
      <c r="AJ65" s="29"/>
      <c r="AK65" s="29"/>
      <c r="AL65" s="30"/>
      <c r="AM65" s="55"/>
      <c r="AN65" s="29"/>
      <c r="AO65" s="29"/>
      <c r="AP65" s="30"/>
      <c r="AQ65" s="55"/>
      <c r="AR65" s="29"/>
      <c r="AS65" s="29"/>
      <c r="AT65" s="30"/>
      <c r="AU65" s="172" t="s">
        <v>608</v>
      </c>
      <c r="AV65" s="29"/>
      <c r="AW65" s="29"/>
      <c r="AX65" s="30"/>
      <c r="AY65" s="55"/>
      <c r="AZ65" s="29"/>
      <c r="BA65" s="29"/>
      <c r="BB65" s="30"/>
      <c r="BC65" s="172" t="s">
        <v>608</v>
      </c>
      <c r="BD65" s="29"/>
      <c r="BE65" s="29"/>
      <c r="BF65" s="30"/>
      <c r="BG65" s="55"/>
      <c r="BH65" s="29"/>
      <c r="BI65" s="29"/>
      <c r="BJ65" s="30"/>
      <c r="BK65" s="172" t="s">
        <v>608</v>
      </c>
      <c r="BL65" s="29"/>
      <c r="BM65" s="29"/>
      <c r="BN65" s="30"/>
      <c r="BO65" s="55"/>
      <c r="BP65" s="29"/>
      <c r="BQ65" s="29"/>
      <c r="BR65" s="30"/>
      <c r="BS65" s="55"/>
      <c r="BT65" s="29"/>
      <c r="BU65" s="29"/>
      <c r="BV65" s="30"/>
      <c r="BW65" s="55"/>
      <c r="BX65" s="29"/>
      <c r="BY65" s="29"/>
      <c r="BZ65" s="30"/>
      <c r="CA65" s="31"/>
    </row>
    <row r="66" spans="1:79" hidden="1">
      <c r="B66" s="297"/>
      <c r="C66" s="307" t="s">
        <v>927</v>
      </c>
      <c r="D66" s="299" t="str">
        <f t="shared" si="7"/>
        <v xml:space="preserve"> 570</v>
      </c>
      <c r="E66" s="308" t="s">
        <v>927</v>
      </c>
      <c r="F66" s="301">
        <f t="shared" si="8"/>
        <v>0</v>
      </c>
      <c r="G66" s="302" t="s">
        <v>1063</v>
      </c>
      <c r="H66" s="302" t="s">
        <v>1076</v>
      </c>
      <c r="I66" s="302" t="s">
        <v>1105</v>
      </c>
      <c r="J66" s="303">
        <v>97500</v>
      </c>
      <c r="K66" s="312">
        <f t="shared" si="16"/>
        <v>6150</v>
      </c>
      <c r="L66" s="301" t="s">
        <v>69</v>
      </c>
      <c r="M66" s="305">
        <f t="shared" si="15"/>
        <v>91350</v>
      </c>
      <c r="N66" s="305">
        <v>6150</v>
      </c>
      <c r="O66" s="306">
        <f t="shared" si="17"/>
        <v>97500</v>
      </c>
      <c r="P66" s="294"/>
      <c r="Q66" s="292" t="s">
        <v>1161</v>
      </c>
      <c r="R66" s="22"/>
      <c r="S66" s="22">
        <f t="shared" si="2"/>
        <v>97500</v>
      </c>
      <c r="T66" s="22">
        <f t="shared" si="3"/>
        <v>139285.71428571429</v>
      </c>
      <c r="U66" s="23">
        <f t="shared" si="4"/>
        <v>159183.67346938775</v>
      </c>
      <c r="V66" s="24">
        <f t="shared" si="5"/>
        <v>0.12499999999999996</v>
      </c>
      <c r="W66" s="23">
        <f t="shared" si="12"/>
        <v>159200</v>
      </c>
      <c r="X66" s="164">
        <f t="shared" si="6"/>
        <v>0.30000000000000004</v>
      </c>
      <c r="Y66" s="25"/>
      <c r="Z66" s="25"/>
      <c r="AA66" s="25"/>
      <c r="AB66" s="34"/>
      <c r="AC66" s="26"/>
      <c r="AD66" s="35"/>
      <c r="AE66" s="36"/>
      <c r="AF66" s="29"/>
      <c r="AG66" s="29"/>
      <c r="AH66" s="30"/>
      <c r="AI66" s="172" t="s">
        <v>608</v>
      </c>
      <c r="AJ66" s="29"/>
      <c r="AK66" s="29"/>
      <c r="AL66" s="30"/>
      <c r="AM66" s="55"/>
      <c r="AN66" s="29"/>
      <c r="AO66" s="29"/>
      <c r="AP66" s="30"/>
      <c r="AQ66" s="55"/>
      <c r="AR66" s="29"/>
      <c r="AS66" s="29"/>
      <c r="AT66" s="30"/>
      <c r="AU66" s="172" t="s">
        <v>608</v>
      </c>
      <c r="AV66" s="29"/>
      <c r="AW66" s="29"/>
      <c r="AX66" s="30"/>
      <c r="AY66" s="55"/>
      <c r="AZ66" s="29"/>
      <c r="BA66" s="29"/>
      <c r="BB66" s="30"/>
      <c r="BC66" s="172" t="s">
        <v>608</v>
      </c>
      <c r="BD66" s="29"/>
      <c r="BE66" s="29"/>
      <c r="BF66" s="30"/>
      <c r="BG66" s="55"/>
      <c r="BH66" s="29"/>
      <c r="BI66" s="29"/>
      <c r="BJ66" s="30"/>
      <c r="BK66" s="172" t="s">
        <v>608</v>
      </c>
      <c r="BL66" s="29"/>
      <c r="BM66" s="29"/>
      <c r="BN66" s="30"/>
      <c r="BO66" s="55"/>
      <c r="BP66" s="29"/>
      <c r="BQ66" s="29"/>
      <c r="BR66" s="30"/>
      <c r="BS66" s="55"/>
      <c r="BT66" s="29"/>
      <c r="BU66" s="29"/>
      <c r="BV66" s="30"/>
      <c r="BW66" s="55"/>
      <c r="BX66" s="29"/>
      <c r="BY66" s="29"/>
      <c r="BZ66" s="30"/>
      <c r="CA66" s="31"/>
    </row>
    <row r="67" spans="1:79" hidden="1">
      <c r="A67" s="71"/>
      <c r="B67" s="297"/>
      <c r="C67" s="307" t="s">
        <v>257</v>
      </c>
      <c r="D67" s="299" t="str">
        <f t="shared" si="7"/>
        <v xml:space="preserve"> 758</v>
      </c>
      <c r="E67" s="308" t="s">
        <v>257</v>
      </c>
      <c r="F67" s="301">
        <f t="shared" si="8"/>
        <v>0</v>
      </c>
      <c r="G67" s="302" t="s">
        <v>35</v>
      </c>
      <c r="H67" s="302" t="s">
        <v>241</v>
      </c>
      <c r="I67" s="302" t="s">
        <v>1105</v>
      </c>
      <c r="J67" s="303">
        <v>105000</v>
      </c>
      <c r="K67" s="304">
        <f t="shared" si="16"/>
        <v>6800</v>
      </c>
      <c r="L67" s="301" t="s">
        <v>69</v>
      </c>
      <c r="M67" s="305">
        <f t="shared" si="15"/>
        <v>98200</v>
      </c>
      <c r="N67" s="305">
        <v>6800</v>
      </c>
      <c r="O67" s="306">
        <f t="shared" si="17"/>
        <v>105000</v>
      </c>
      <c r="P67" s="293"/>
      <c r="Q67" s="292" t="s">
        <v>1162</v>
      </c>
      <c r="R67" s="22"/>
      <c r="S67" s="22">
        <f t="shared" si="2"/>
        <v>105000</v>
      </c>
      <c r="T67" s="22">
        <f t="shared" si="3"/>
        <v>150000</v>
      </c>
      <c r="U67" s="23">
        <f t="shared" si="4"/>
        <v>171428.57142857142</v>
      </c>
      <c r="V67" s="24">
        <f t="shared" si="5"/>
        <v>0.12499999999999996</v>
      </c>
      <c r="W67" s="23">
        <f t="shared" si="12"/>
        <v>171500</v>
      </c>
      <c r="X67" s="164">
        <f t="shared" si="6"/>
        <v>0.3</v>
      </c>
      <c r="Y67" s="25"/>
      <c r="Z67" s="25"/>
      <c r="AA67" s="37"/>
      <c r="AB67" s="26"/>
      <c r="AC67" s="26"/>
      <c r="AD67" s="35"/>
      <c r="AE67" s="36"/>
      <c r="AF67" s="29"/>
      <c r="AG67" s="29"/>
      <c r="AH67" s="30"/>
      <c r="AI67" s="172" t="s">
        <v>608</v>
      </c>
      <c r="AJ67" s="29"/>
      <c r="AK67" s="29"/>
      <c r="AL67" s="30"/>
      <c r="AM67" s="55"/>
      <c r="AN67" s="29"/>
      <c r="AO67" s="29"/>
      <c r="AP67" s="30"/>
      <c r="AQ67" s="55"/>
      <c r="AR67" s="29"/>
      <c r="AS67" s="29"/>
      <c r="AT67" s="30"/>
      <c r="AU67" s="172" t="s">
        <v>608</v>
      </c>
      <c r="AV67" s="29"/>
      <c r="AW67" s="29"/>
      <c r="AX67" s="30"/>
      <c r="AY67" s="55"/>
      <c r="AZ67" s="29"/>
      <c r="BA67" s="29"/>
      <c r="BB67" s="30"/>
      <c r="BC67" s="172" t="s">
        <v>608</v>
      </c>
      <c r="BD67" s="29"/>
      <c r="BE67" s="29"/>
      <c r="BF67" s="30"/>
      <c r="BG67" s="55"/>
      <c r="BH67" s="29"/>
      <c r="BI67" s="29"/>
      <c r="BJ67" s="30"/>
      <c r="BK67" s="172" t="s">
        <v>608</v>
      </c>
      <c r="BL67" s="29"/>
      <c r="BM67" s="29"/>
      <c r="BN67" s="30"/>
      <c r="BO67" s="55"/>
      <c r="BP67" s="29"/>
      <c r="BQ67" s="29"/>
      <c r="BR67" s="30"/>
      <c r="BS67" s="55"/>
      <c r="BT67" s="29"/>
      <c r="BU67" s="29"/>
      <c r="BV67" s="30"/>
      <c r="BW67" s="55"/>
      <c r="BX67" s="29"/>
      <c r="BY67" s="29"/>
      <c r="BZ67" s="30"/>
      <c r="CA67" s="31"/>
    </row>
    <row r="68" spans="1:79" hidden="1">
      <c r="B68" s="297"/>
      <c r="C68" s="307" t="s">
        <v>928</v>
      </c>
      <c r="D68" s="299" t="str">
        <f t="shared" si="7"/>
        <v xml:space="preserve"> 838</v>
      </c>
      <c r="E68" s="308" t="s">
        <v>928</v>
      </c>
      <c r="F68" s="301">
        <f t="shared" si="8"/>
        <v>0</v>
      </c>
      <c r="G68" s="302" t="s">
        <v>1063</v>
      </c>
      <c r="H68" s="302" t="s">
        <v>1069</v>
      </c>
      <c r="I68" s="302" t="s">
        <v>1105</v>
      </c>
      <c r="J68" s="303">
        <v>102000</v>
      </c>
      <c r="K68" s="312">
        <f t="shared" si="16"/>
        <v>6800</v>
      </c>
      <c r="L68" s="301" t="s">
        <v>69</v>
      </c>
      <c r="M68" s="305">
        <f t="shared" si="15"/>
        <v>95200</v>
      </c>
      <c r="N68" s="305">
        <v>6800</v>
      </c>
      <c r="O68" s="306">
        <f t="shared" si="17"/>
        <v>102000</v>
      </c>
      <c r="P68" s="294"/>
      <c r="Q68" s="292" t="s">
        <v>1162</v>
      </c>
      <c r="R68" s="22"/>
      <c r="S68" s="22">
        <f t="shared" si="2"/>
        <v>102000</v>
      </c>
      <c r="T68" s="22">
        <f t="shared" si="3"/>
        <v>145714.28571428571</v>
      </c>
      <c r="U68" s="23">
        <f t="shared" si="4"/>
        <v>166530.61224489796</v>
      </c>
      <c r="V68" s="24">
        <f t="shared" si="5"/>
        <v>0.12500000000000003</v>
      </c>
      <c r="W68" s="23">
        <f t="shared" si="12"/>
        <v>166600</v>
      </c>
      <c r="X68" s="164">
        <f t="shared" si="6"/>
        <v>0.3</v>
      </c>
      <c r="Y68" s="253">
        <v>185714.28571428574</v>
      </c>
      <c r="Z68" s="188">
        <f>T68-Y68</f>
        <v>-40000.000000000029</v>
      </c>
      <c r="AA68" s="189">
        <f>Z68/Y68</f>
        <v>-0.21538461538461551</v>
      </c>
      <c r="AB68" s="34"/>
      <c r="AC68" s="26"/>
      <c r="AD68" s="35"/>
      <c r="AE68" s="36"/>
      <c r="AF68" s="29"/>
      <c r="AG68" s="29"/>
      <c r="AH68" s="30"/>
      <c r="AI68" s="172" t="s">
        <v>608</v>
      </c>
      <c r="AJ68" s="29"/>
      <c r="AK68" s="29"/>
      <c r="AL68" s="30"/>
      <c r="AM68" s="55"/>
      <c r="AN68" s="29"/>
      <c r="AO68" s="29"/>
      <c r="AP68" s="30"/>
      <c r="AQ68" s="55"/>
      <c r="AR68" s="29"/>
      <c r="AS68" s="29"/>
      <c r="AT68" s="30"/>
      <c r="AU68" s="172" t="s">
        <v>608</v>
      </c>
      <c r="AV68" s="29"/>
      <c r="AW68" s="29"/>
      <c r="AX68" s="30"/>
      <c r="AY68" s="55"/>
      <c r="AZ68" s="29"/>
      <c r="BA68" s="29"/>
      <c r="BB68" s="30"/>
      <c r="BC68" s="172" t="s">
        <v>608</v>
      </c>
      <c r="BD68" s="29"/>
      <c r="BE68" s="29"/>
      <c r="BF68" s="30"/>
      <c r="BG68" s="55"/>
      <c r="BH68" s="29"/>
      <c r="BI68" s="29"/>
      <c r="BJ68" s="30"/>
      <c r="BK68" s="172" t="s">
        <v>608</v>
      </c>
      <c r="BL68" s="29"/>
      <c r="BM68" s="29"/>
      <c r="BN68" s="30"/>
      <c r="BO68" s="55"/>
      <c r="BP68" s="29"/>
      <c r="BQ68" s="29"/>
      <c r="BR68" s="30"/>
      <c r="BS68" s="55"/>
      <c r="BT68" s="29"/>
      <c r="BU68" s="29"/>
      <c r="BV68" s="30"/>
      <c r="BW68" s="55"/>
      <c r="BX68" s="29"/>
      <c r="BY68" s="29"/>
      <c r="BZ68" s="30"/>
      <c r="CA68" s="31"/>
    </row>
    <row r="69" spans="1:79" hidden="1">
      <c r="B69" s="297"/>
      <c r="C69" s="307" t="s">
        <v>929</v>
      </c>
      <c r="D69" s="299" t="str">
        <f t="shared" si="7"/>
        <v xml:space="preserve"> 985</v>
      </c>
      <c r="E69" s="308" t="s">
        <v>929</v>
      </c>
      <c r="F69" s="301">
        <f t="shared" si="8"/>
        <v>0</v>
      </c>
      <c r="G69" s="302" t="s">
        <v>1063</v>
      </c>
      <c r="H69" s="302" t="s">
        <v>1072</v>
      </c>
      <c r="I69" s="302" t="s">
        <v>1106</v>
      </c>
      <c r="J69" s="303">
        <v>67000</v>
      </c>
      <c r="K69" s="312">
        <f t="shared" si="16"/>
        <v>6650</v>
      </c>
      <c r="L69" s="301" t="s">
        <v>69</v>
      </c>
      <c r="M69" s="305">
        <f t="shared" si="15"/>
        <v>60350</v>
      </c>
      <c r="N69" s="305">
        <v>6650</v>
      </c>
      <c r="O69" s="306">
        <f t="shared" si="17"/>
        <v>67000</v>
      </c>
      <c r="P69" s="294"/>
      <c r="Q69" s="292" t="s">
        <v>1163</v>
      </c>
      <c r="R69" s="22"/>
      <c r="S69" s="22">
        <f t="shared" si="2"/>
        <v>67000</v>
      </c>
      <c r="T69" s="22">
        <f t="shared" si="3"/>
        <v>95714.285714285725</v>
      </c>
      <c r="U69" s="23">
        <f t="shared" si="4"/>
        <v>109387.75510204083</v>
      </c>
      <c r="V69" s="24">
        <f t="shared" si="5"/>
        <v>0.125</v>
      </c>
      <c r="W69" s="23">
        <f t="shared" si="12"/>
        <v>109400</v>
      </c>
      <c r="X69" s="164">
        <f t="shared" si="6"/>
        <v>0.3000000000000001</v>
      </c>
      <c r="Y69" s="25"/>
      <c r="Z69" s="25"/>
      <c r="AA69" s="25"/>
      <c r="AB69" s="34"/>
      <c r="AC69" s="26"/>
      <c r="AD69" s="35"/>
      <c r="AE69" s="36"/>
      <c r="AF69" s="29"/>
      <c r="AG69" s="29"/>
      <c r="AH69" s="30"/>
      <c r="AI69" s="172" t="s">
        <v>608</v>
      </c>
      <c r="AJ69" s="29"/>
      <c r="AK69" s="29"/>
      <c r="AL69" s="30"/>
      <c r="AM69" s="55"/>
      <c r="AN69" s="29"/>
      <c r="AO69" s="29"/>
      <c r="AP69" s="30"/>
      <c r="AQ69" s="55"/>
      <c r="AR69" s="29"/>
      <c r="AS69" s="29"/>
      <c r="AT69" s="30"/>
      <c r="AU69" s="172" t="s">
        <v>608</v>
      </c>
      <c r="AV69" s="29"/>
      <c r="AW69" s="29"/>
      <c r="AX69" s="30"/>
      <c r="AY69" s="55"/>
      <c r="AZ69" s="29"/>
      <c r="BA69" s="29"/>
      <c r="BB69" s="30"/>
      <c r="BC69" s="172" t="s">
        <v>608</v>
      </c>
      <c r="BD69" s="29"/>
      <c r="BE69" s="29"/>
      <c r="BF69" s="30"/>
      <c r="BG69" s="55"/>
      <c r="BH69" s="29"/>
      <c r="BI69" s="29"/>
      <c r="BJ69" s="30"/>
      <c r="BK69" s="172" t="s">
        <v>608</v>
      </c>
      <c r="BL69" s="29"/>
      <c r="BM69" s="29"/>
      <c r="BN69" s="30"/>
      <c r="BO69" s="55"/>
      <c r="BP69" s="29"/>
      <c r="BQ69" s="29"/>
      <c r="BR69" s="30"/>
      <c r="BS69" s="55"/>
      <c r="BT69" s="29"/>
      <c r="BU69" s="29"/>
      <c r="BV69" s="30"/>
      <c r="BW69" s="55"/>
      <c r="BX69" s="29"/>
      <c r="BY69" s="29"/>
      <c r="BZ69" s="30"/>
      <c r="CA69" s="31"/>
    </row>
    <row r="70" spans="1:79" hidden="1">
      <c r="B70" s="297"/>
      <c r="C70" s="307" t="s">
        <v>930</v>
      </c>
      <c r="D70" s="299" t="str">
        <f t="shared" si="7"/>
        <v xml:space="preserve"> 935</v>
      </c>
      <c r="E70" s="308" t="s">
        <v>930</v>
      </c>
      <c r="F70" s="301">
        <f t="shared" si="8"/>
        <v>0</v>
      </c>
      <c r="G70" s="302" t="s">
        <v>1063</v>
      </c>
      <c r="H70" s="302" t="s">
        <v>1072</v>
      </c>
      <c r="I70" s="302" t="s">
        <v>1106</v>
      </c>
      <c r="J70" s="303">
        <v>49000</v>
      </c>
      <c r="K70" s="312">
        <f t="shared" si="16"/>
        <v>6650</v>
      </c>
      <c r="L70" s="301" t="s">
        <v>69</v>
      </c>
      <c r="M70" s="305">
        <f t="shared" si="15"/>
        <v>42350</v>
      </c>
      <c r="N70" s="305">
        <v>6650</v>
      </c>
      <c r="O70" s="306">
        <f t="shared" si="17"/>
        <v>49000</v>
      </c>
      <c r="P70" s="294"/>
      <c r="Q70" s="292" t="s">
        <v>1163</v>
      </c>
      <c r="R70" s="22"/>
      <c r="S70" s="22">
        <f t="shared" si="2"/>
        <v>49000</v>
      </c>
      <c r="T70" s="22">
        <f t="shared" si="3"/>
        <v>70000</v>
      </c>
      <c r="U70" s="23">
        <f t="shared" si="4"/>
        <v>80000</v>
      </c>
      <c r="V70" s="24">
        <f t="shared" si="5"/>
        <v>0.125</v>
      </c>
      <c r="W70" s="23">
        <f t="shared" si="12"/>
        <v>80000</v>
      </c>
      <c r="X70" s="164">
        <f t="shared" si="6"/>
        <v>0.3</v>
      </c>
      <c r="Y70" s="25"/>
      <c r="Z70" s="25"/>
      <c r="AA70" s="37"/>
      <c r="AB70" s="26"/>
      <c r="AC70" s="26"/>
      <c r="AD70" s="42"/>
      <c r="AE70" s="43"/>
      <c r="AF70" s="29"/>
      <c r="AG70" s="29"/>
      <c r="AH70" s="30"/>
      <c r="AI70" s="172" t="s">
        <v>608</v>
      </c>
      <c r="AJ70" s="29"/>
      <c r="AK70" s="29"/>
      <c r="AL70" s="30"/>
      <c r="AM70" s="55"/>
      <c r="AN70" s="29"/>
      <c r="AO70" s="29"/>
      <c r="AP70" s="30"/>
      <c r="AQ70" s="55"/>
      <c r="AR70" s="29"/>
      <c r="AS70" s="29"/>
      <c r="AT70" s="30"/>
      <c r="AU70" s="55">
        <f>136500/0.7</f>
        <v>195000</v>
      </c>
      <c r="AV70" s="38">
        <f>126276/0.7</f>
        <v>180394.28571428574</v>
      </c>
      <c r="AW70" s="29"/>
      <c r="AX70" s="21">
        <f>(AU70-AV70)/AV70</f>
        <v>8.0965504133802005E-2</v>
      </c>
      <c r="AY70" s="55"/>
      <c r="AZ70" s="29"/>
      <c r="BA70" s="29"/>
      <c r="BB70" s="30"/>
      <c r="BC70" s="172" t="s">
        <v>608</v>
      </c>
      <c r="BD70" s="29"/>
      <c r="BE70" s="29"/>
      <c r="BF70" s="30"/>
      <c r="BG70" s="55"/>
      <c r="BH70" s="29"/>
      <c r="BI70" s="29"/>
      <c r="BJ70" s="30"/>
      <c r="BK70" s="172" t="s">
        <v>608</v>
      </c>
      <c r="BL70" s="38">
        <f>133700/0.7</f>
        <v>191000</v>
      </c>
      <c r="BM70" s="29"/>
      <c r="BN70" s="21" t="e">
        <f>(BK70-BL70)/BL70</f>
        <v>#VALUE!</v>
      </c>
      <c r="BO70" s="55"/>
      <c r="BP70" s="38">
        <f>130972/0.7</f>
        <v>187102.85714285716</v>
      </c>
      <c r="BQ70" s="29"/>
      <c r="BR70" s="30"/>
      <c r="BS70" s="55"/>
      <c r="BT70" s="29"/>
      <c r="BU70" s="29"/>
      <c r="BV70" s="30"/>
      <c r="BW70" s="55"/>
      <c r="BX70" s="29"/>
      <c r="BY70" s="29"/>
      <c r="BZ70" s="30"/>
      <c r="CA70" s="31"/>
    </row>
    <row r="71" spans="1:79" hidden="1">
      <c r="A71" s="71"/>
      <c r="B71" s="297"/>
      <c r="C71" s="307" t="s">
        <v>931</v>
      </c>
      <c r="D71" s="299" t="str">
        <f t="shared" si="7"/>
        <v xml:space="preserve"> 783</v>
      </c>
      <c r="E71" s="308" t="s">
        <v>931</v>
      </c>
      <c r="F71" s="301">
        <f t="shared" si="8"/>
        <v>0</v>
      </c>
      <c r="G71" s="302" t="s">
        <v>1063</v>
      </c>
      <c r="H71" s="302" t="s">
        <v>1072</v>
      </c>
      <c r="I71" s="302" t="s">
        <v>1106</v>
      </c>
      <c r="J71" s="303">
        <v>52500</v>
      </c>
      <c r="K71" s="304">
        <f t="shared" ref="K71:K99" si="18">J71-M71</f>
        <v>6650</v>
      </c>
      <c r="L71" s="301" t="s">
        <v>69</v>
      </c>
      <c r="M71" s="305">
        <f t="shared" si="15"/>
        <v>45850</v>
      </c>
      <c r="N71" s="305">
        <v>6650</v>
      </c>
      <c r="O71" s="306">
        <f t="shared" si="17"/>
        <v>52500</v>
      </c>
      <c r="P71" s="293"/>
      <c r="Q71" s="292" t="s">
        <v>1163</v>
      </c>
      <c r="R71" s="22"/>
      <c r="S71" s="22">
        <f t="shared" ref="S71:S134" si="19">R71+O71</f>
        <v>52500</v>
      </c>
      <c r="T71" s="22">
        <f t="shared" ref="T71:T134" si="20">S71/0.7</f>
        <v>75000</v>
      </c>
      <c r="U71" s="23">
        <f t="shared" ref="U71:U134" si="21">T71/0.875</f>
        <v>85714.28571428571</v>
      </c>
      <c r="V71" s="24">
        <f t="shared" ref="V71:V134" si="22">(U71-T71)/U71</f>
        <v>0.12499999999999996</v>
      </c>
      <c r="W71" s="23">
        <f t="shared" si="12"/>
        <v>85800</v>
      </c>
      <c r="X71" s="164">
        <f t="shared" ref="X71:X134" si="23">(T71-O71)/T71</f>
        <v>0.3</v>
      </c>
      <c r="Y71" s="25"/>
      <c r="Z71" s="25"/>
      <c r="AA71" s="25"/>
      <c r="AB71" s="34"/>
      <c r="AC71" s="26"/>
      <c r="AD71" s="35"/>
      <c r="AE71" s="36"/>
      <c r="AF71" s="29"/>
      <c r="AG71" s="29"/>
      <c r="AH71" s="30"/>
      <c r="AI71" s="172" t="s">
        <v>608</v>
      </c>
      <c r="AJ71" s="29"/>
      <c r="AK71" s="29"/>
      <c r="AL71" s="30"/>
      <c r="AM71" s="55"/>
      <c r="AN71" s="29"/>
      <c r="AO71" s="29"/>
      <c r="AP71" s="30"/>
      <c r="AQ71" s="55"/>
      <c r="AR71" s="29"/>
      <c r="AS71" s="29"/>
      <c r="AT71" s="30"/>
      <c r="AU71" s="172" t="s">
        <v>608</v>
      </c>
      <c r="AV71" s="29"/>
      <c r="AW71" s="29"/>
      <c r="AX71" s="30"/>
      <c r="AY71" s="55"/>
      <c r="AZ71" s="29"/>
      <c r="BA71" s="29"/>
      <c r="BB71" s="30"/>
      <c r="BC71" s="172" t="s">
        <v>608</v>
      </c>
      <c r="BD71" s="29"/>
      <c r="BE71" s="29"/>
      <c r="BF71" s="30"/>
      <c r="BG71" s="55"/>
      <c r="BH71" s="29"/>
      <c r="BI71" s="29"/>
      <c r="BJ71" s="30"/>
      <c r="BK71" s="172" t="s">
        <v>608</v>
      </c>
      <c r="BL71" s="29"/>
      <c r="BM71" s="29"/>
      <c r="BN71" s="30"/>
      <c r="BO71" s="55"/>
      <c r="BP71" s="29"/>
      <c r="BQ71" s="29"/>
      <c r="BR71" s="30"/>
      <c r="BS71" s="55"/>
      <c r="BT71" s="29"/>
      <c r="BU71" s="29"/>
      <c r="BV71" s="30"/>
      <c r="BW71" s="55"/>
      <c r="BX71" s="29"/>
      <c r="BY71" s="29"/>
      <c r="BZ71" s="30"/>
      <c r="CA71" s="31"/>
    </row>
    <row r="72" spans="1:79" hidden="1">
      <c r="B72" s="297"/>
      <c r="C72" s="307" t="s">
        <v>469</v>
      </c>
      <c r="D72" s="299" t="str">
        <f t="shared" ref="D72:D135" si="24">REPLACE(C72,1,3, )</f>
        <v xml:space="preserve"> 472</v>
      </c>
      <c r="E72" s="308" t="s">
        <v>469</v>
      </c>
      <c r="F72" s="301">
        <f t="shared" ref="F72:F135" si="25">IF(C72=E72,0,1)</f>
        <v>0</v>
      </c>
      <c r="G72" s="302" t="s">
        <v>35</v>
      </c>
      <c r="H72" s="302" t="s">
        <v>1072</v>
      </c>
      <c r="I72" s="302" t="s">
        <v>1106</v>
      </c>
      <c r="J72" s="303">
        <v>54000</v>
      </c>
      <c r="K72" s="312">
        <f t="shared" si="18"/>
        <v>6650</v>
      </c>
      <c r="L72" s="301" t="s">
        <v>69</v>
      </c>
      <c r="M72" s="305">
        <f t="shared" si="15"/>
        <v>47350</v>
      </c>
      <c r="N72" s="305">
        <v>6650</v>
      </c>
      <c r="O72" s="306">
        <f t="shared" ref="O72:O101" si="26">M72+N72</f>
        <v>54000</v>
      </c>
      <c r="P72" s="294"/>
      <c r="Q72" s="292" t="s">
        <v>1163</v>
      </c>
      <c r="R72" s="22"/>
      <c r="S72" s="22">
        <f t="shared" si="19"/>
        <v>54000</v>
      </c>
      <c r="T72" s="22">
        <f t="shared" si="20"/>
        <v>77142.857142857145</v>
      </c>
      <c r="U72" s="23">
        <f t="shared" si="21"/>
        <v>88163.265306122456</v>
      </c>
      <c r="V72" s="24">
        <f t="shared" si="22"/>
        <v>0.12500000000000003</v>
      </c>
      <c r="W72" s="23">
        <f t="shared" ref="W72:W135" si="27">(ROUNDUP((U72/100),0))*100</f>
        <v>88200</v>
      </c>
      <c r="X72" s="164">
        <f t="shared" si="23"/>
        <v>0.30000000000000004</v>
      </c>
      <c r="Y72" s="25"/>
      <c r="Z72" s="25"/>
      <c r="AA72" s="25"/>
      <c r="AB72" s="34"/>
      <c r="AC72" s="290">
        <f>AVERAGE(X72,X71,X69,X70,X68,X67,X66,X65,X64,X63,X62,X61,X60,X59,X58,X57,X56,X55,X54,X53,X52,X51,X50)</f>
        <v>0.3</v>
      </c>
      <c r="AD72" s="208">
        <f>AVERAGE(T72,T71,T70,T69,T68,T67,T66,T65,T64,T63,T62,T61,T60,T59,T58,T57,T56,T55,T54,T53,T52,T51,T50)</f>
        <v>88068.322981366437</v>
      </c>
      <c r="AE72" s="28">
        <f>AVERAGE(AI72,AM72,AQ72,AU72,BC72,BK72,BO72,BS72,BW72)</f>
        <v>183533.75</v>
      </c>
      <c r="AF72" s="29"/>
      <c r="AG72" s="29"/>
      <c r="AH72" s="30"/>
      <c r="AI72" s="44">
        <v>177947</v>
      </c>
      <c r="AJ72" s="29"/>
      <c r="AK72" s="29"/>
      <c r="AL72" s="30"/>
      <c r="AM72" s="55"/>
      <c r="AN72" s="29"/>
      <c r="AO72" s="29"/>
      <c r="AP72" s="30"/>
      <c r="AQ72" s="55"/>
      <c r="AR72" s="29"/>
      <c r="AS72" s="29"/>
      <c r="AT72" s="30"/>
      <c r="AU72" s="59">
        <v>166026</v>
      </c>
      <c r="AV72" s="29"/>
      <c r="AW72" s="29"/>
      <c r="AX72" s="30"/>
      <c r="AY72" s="55"/>
      <c r="AZ72" s="29"/>
      <c r="BA72" s="29"/>
      <c r="BB72" s="30"/>
      <c r="BC72" s="59">
        <v>170653</v>
      </c>
      <c r="BD72" s="29"/>
      <c r="BE72" s="29"/>
      <c r="BF72" s="30"/>
      <c r="BG72" s="55"/>
      <c r="BH72" s="29"/>
      <c r="BI72" s="29"/>
      <c r="BJ72" s="30"/>
      <c r="BK72" s="44">
        <v>219509</v>
      </c>
      <c r="BL72" s="29"/>
      <c r="BM72" s="29"/>
      <c r="BN72" s="30"/>
      <c r="BO72" s="55"/>
      <c r="BP72" s="29"/>
      <c r="BQ72" s="29"/>
      <c r="BR72" s="30"/>
      <c r="BS72" s="55"/>
      <c r="BT72" s="29"/>
      <c r="BU72" s="29"/>
      <c r="BV72" s="30"/>
      <c r="BW72" s="55"/>
      <c r="BX72" s="29"/>
      <c r="BY72" s="29"/>
      <c r="BZ72" s="30"/>
      <c r="CA72" s="31"/>
    </row>
    <row r="73" spans="1:79" hidden="1">
      <c r="B73" s="297"/>
      <c r="C73" s="307" t="s">
        <v>932</v>
      </c>
      <c r="D73" s="299" t="str">
        <f t="shared" si="24"/>
        <v xml:space="preserve"> 687</v>
      </c>
      <c r="E73" s="308" t="s">
        <v>932</v>
      </c>
      <c r="F73" s="301">
        <f t="shared" si="25"/>
        <v>0</v>
      </c>
      <c r="G73" s="302" t="s">
        <v>1063</v>
      </c>
      <c r="H73" s="302" t="s">
        <v>1072</v>
      </c>
      <c r="I73" s="302" t="s">
        <v>1106</v>
      </c>
      <c r="J73" s="303">
        <v>52500</v>
      </c>
      <c r="K73" s="312">
        <f t="shared" si="18"/>
        <v>6650</v>
      </c>
      <c r="L73" s="301" t="s">
        <v>69</v>
      </c>
      <c r="M73" s="305">
        <f t="shared" si="15"/>
        <v>45850</v>
      </c>
      <c r="N73" s="305">
        <v>6650</v>
      </c>
      <c r="O73" s="306">
        <f t="shared" si="26"/>
        <v>52500</v>
      </c>
      <c r="P73" s="294"/>
      <c r="Q73" s="292" t="s">
        <v>1163</v>
      </c>
      <c r="R73" s="22"/>
      <c r="S73" s="22">
        <f t="shared" si="19"/>
        <v>52500</v>
      </c>
      <c r="T73" s="22">
        <f t="shared" si="20"/>
        <v>75000</v>
      </c>
      <c r="U73" s="23">
        <f t="shared" si="21"/>
        <v>85714.28571428571</v>
      </c>
      <c r="V73" s="24">
        <f t="shared" si="22"/>
        <v>0.12499999999999996</v>
      </c>
      <c r="W73" s="23">
        <f t="shared" si="27"/>
        <v>85800</v>
      </c>
      <c r="X73" s="164">
        <f t="shared" si="23"/>
        <v>0.3</v>
      </c>
      <c r="Y73" s="253">
        <v>177857.14285714287</v>
      </c>
      <c r="Z73" s="188">
        <f>T73-Y73</f>
        <v>-102857.14285714287</v>
      </c>
      <c r="AA73" s="189">
        <f>Z73/Y73</f>
        <v>-0.57831325301204817</v>
      </c>
      <c r="AB73" s="26"/>
      <c r="AC73" s="164"/>
      <c r="AD73" s="42"/>
      <c r="AE73" s="43"/>
      <c r="AF73" s="29"/>
      <c r="AG73" s="29"/>
      <c r="AH73" s="29"/>
      <c r="AI73" s="172" t="s">
        <v>608</v>
      </c>
      <c r="AJ73" s="29"/>
      <c r="AK73" s="29"/>
      <c r="AL73" s="29"/>
      <c r="AM73" s="55"/>
      <c r="AN73" s="29"/>
      <c r="AO73" s="29"/>
      <c r="AP73" s="29"/>
      <c r="AQ73" s="55"/>
      <c r="AR73" s="29"/>
      <c r="AS73" s="29"/>
      <c r="AT73" s="29"/>
      <c r="AU73" s="172" t="s">
        <v>608</v>
      </c>
      <c r="AV73" s="29"/>
      <c r="AW73" s="29"/>
      <c r="AX73" s="29"/>
      <c r="AY73" s="55"/>
      <c r="AZ73" s="29"/>
      <c r="BA73" s="29"/>
      <c r="BB73" s="29"/>
      <c r="BC73" s="172" t="s">
        <v>751</v>
      </c>
      <c r="BD73" s="29"/>
      <c r="BE73" s="29"/>
      <c r="BF73" s="29"/>
      <c r="BG73" s="55"/>
      <c r="BH73" s="29"/>
      <c r="BI73" s="29"/>
      <c r="BJ73" s="29"/>
      <c r="BK73" s="172" t="s">
        <v>751</v>
      </c>
      <c r="BL73" s="29"/>
      <c r="BM73" s="29"/>
      <c r="BN73" s="29"/>
      <c r="BO73" s="55"/>
      <c r="BP73" s="29"/>
      <c r="BQ73" s="29"/>
      <c r="BR73" s="29"/>
      <c r="BS73" s="55"/>
      <c r="BT73" s="29"/>
      <c r="BU73" s="29"/>
      <c r="BV73" s="29"/>
      <c r="BW73" s="55"/>
      <c r="BX73" s="29"/>
      <c r="BY73" s="29"/>
      <c r="BZ73" s="29"/>
      <c r="CA73" s="29"/>
    </row>
    <row r="74" spans="1:79" hidden="1">
      <c r="B74" s="297"/>
      <c r="C74" s="307" t="s">
        <v>933</v>
      </c>
      <c r="D74" s="299" t="str">
        <f t="shared" si="24"/>
        <v xml:space="preserve"> 743</v>
      </c>
      <c r="E74" s="308" t="s">
        <v>933</v>
      </c>
      <c r="F74" s="301">
        <f t="shared" si="25"/>
        <v>0</v>
      </c>
      <c r="G74" s="302" t="s">
        <v>1063</v>
      </c>
      <c r="H74" s="302" t="s">
        <v>1072</v>
      </c>
      <c r="I74" s="302" t="s">
        <v>1106</v>
      </c>
      <c r="J74" s="303">
        <v>52500</v>
      </c>
      <c r="K74" s="312">
        <f t="shared" si="18"/>
        <v>6650</v>
      </c>
      <c r="L74" s="301" t="s">
        <v>69</v>
      </c>
      <c r="M74" s="305">
        <f t="shared" si="15"/>
        <v>45850</v>
      </c>
      <c r="N74" s="305">
        <v>6650</v>
      </c>
      <c r="O74" s="306">
        <f t="shared" si="26"/>
        <v>52500</v>
      </c>
      <c r="P74" s="294"/>
      <c r="Q74" s="292" t="s">
        <v>1163</v>
      </c>
      <c r="R74" s="22"/>
      <c r="S74" s="22">
        <f t="shared" si="19"/>
        <v>52500</v>
      </c>
      <c r="T74" s="22">
        <f t="shared" si="20"/>
        <v>75000</v>
      </c>
      <c r="U74" s="23">
        <f t="shared" si="21"/>
        <v>85714.28571428571</v>
      </c>
      <c r="V74" s="24">
        <f t="shared" si="22"/>
        <v>0.12499999999999996</v>
      </c>
      <c r="W74" s="23">
        <f t="shared" si="27"/>
        <v>85800</v>
      </c>
      <c r="X74" s="164">
        <f t="shared" si="23"/>
        <v>0.3</v>
      </c>
      <c r="Y74" s="253">
        <v>177857.14285714287</v>
      </c>
      <c r="Z74" s="188">
        <f>T74-Y74</f>
        <v>-102857.14285714287</v>
      </c>
      <c r="AA74" s="189">
        <f>Z74/Y74</f>
        <v>-0.57831325301204817</v>
      </c>
      <c r="AB74" s="26"/>
      <c r="AC74" s="164"/>
      <c r="AD74" s="46"/>
      <c r="AE74" s="49"/>
      <c r="AF74" s="29"/>
      <c r="AG74" s="29"/>
      <c r="AH74" s="29"/>
      <c r="AI74" s="172" t="s">
        <v>608</v>
      </c>
      <c r="AJ74" s="29"/>
      <c r="AK74" s="29"/>
      <c r="AL74" s="29"/>
      <c r="AM74" s="55"/>
      <c r="AN74" s="29"/>
      <c r="AO74" s="29"/>
      <c r="AP74" s="29"/>
      <c r="AQ74" s="55"/>
      <c r="AR74" s="29"/>
      <c r="AS74" s="29"/>
      <c r="AT74" s="29"/>
      <c r="AU74" s="172" t="s">
        <v>608</v>
      </c>
      <c r="AV74" s="29"/>
      <c r="AW74" s="29"/>
      <c r="AX74" s="29"/>
      <c r="AY74" s="55"/>
      <c r="AZ74" s="29"/>
      <c r="BA74" s="29"/>
      <c r="BB74" s="29"/>
      <c r="BC74" s="172" t="s">
        <v>751</v>
      </c>
      <c r="BD74" s="29"/>
      <c r="BE74" s="29"/>
      <c r="BF74" s="29"/>
      <c r="BG74" s="55"/>
      <c r="BH74" s="29"/>
      <c r="BI74" s="29"/>
      <c r="BJ74" s="29"/>
      <c r="BK74" s="172" t="s">
        <v>751</v>
      </c>
      <c r="BL74" s="29"/>
      <c r="BM74" s="29"/>
      <c r="BN74" s="29"/>
      <c r="BO74" s="55"/>
      <c r="BP74" s="29"/>
      <c r="BQ74" s="29"/>
      <c r="BR74" s="29"/>
      <c r="BS74" s="55"/>
      <c r="BT74" s="29"/>
      <c r="BU74" s="29"/>
      <c r="BV74" s="29"/>
      <c r="BW74" s="55"/>
      <c r="BX74" s="29"/>
      <c r="BY74" s="29"/>
      <c r="BZ74" s="29"/>
      <c r="CA74" s="29"/>
    </row>
    <row r="75" spans="1:79" hidden="1">
      <c r="A75" s="71" t="s">
        <v>1242</v>
      </c>
      <c r="B75" s="297"/>
      <c r="C75" s="307" t="s">
        <v>934</v>
      </c>
      <c r="D75" s="299" t="str">
        <f t="shared" si="24"/>
        <v xml:space="preserve"> 938</v>
      </c>
      <c r="E75" s="308" t="s">
        <v>934</v>
      </c>
      <c r="F75" s="301">
        <f t="shared" si="25"/>
        <v>0</v>
      </c>
      <c r="G75" s="302" t="s">
        <v>1063</v>
      </c>
      <c r="H75" s="302" t="s">
        <v>1077</v>
      </c>
      <c r="I75" s="302" t="s">
        <v>1107</v>
      </c>
      <c r="J75" s="303">
        <v>65000</v>
      </c>
      <c r="K75" s="312">
        <f t="shared" si="18"/>
        <v>3900</v>
      </c>
      <c r="L75" s="301" t="s">
        <v>69</v>
      </c>
      <c r="M75" s="305">
        <f t="shared" si="15"/>
        <v>61100</v>
      </c>
      <c r="N75" s="305">
        <f>2000+200+350+600+750</f>
        <v>3900</v>
      </c>
      <c r="O75" s="306">
        <f t="shared" si="26"/>
        <v>65000</v>
      </c>
      <c r="P75" s="294"/>
      <c r="Q75" s="292" t="s">
        <v>1164</v>
      </c>
      <c r="R75" s="22"/>
      <c r="S75" s="22">
        <f t="shared" si="19"/>
        <v>65000</v>
      </c>
      <c r="T75" s="22">
        <f t="shared" si="20"/>
        <v>92857.14285714287</v>
      </c>
      <c r="U75" s="23">
        <f t="shared" si="21"/>
        <v>106122.44897959185</v>
      </c>
      <c r="V75" s="24">
        <f t="shared" si="22"/>
        <v>0.12499999999999999</v>
      </c>
      <c r="W75" s="23">
        <f t="shared" si="27"/>
        <v>106200</v>
      </c>
      <c r="X75" s="164">
        <f t="shared" si="23"/>
        <v>0.3000000000000001</v>
      </c>
      <c r="Y75" s="25"/>
      <c r="Z75" s="25"/>
      <c r="AA75" s="37"/>
      <c r="AB75" s="26"/>
      <c r="AC75" s="164"/>
      <c r="AD75" s="42"/>
      <c r="AE75" s="43"/>
      <c r="AF75" s="29"/>
      <c r="AG75" s="29"/>
      <c r="AH75" s="29"/>
      <c r="AI75" s="172" t="s">
        <v>608</v>
      </c>
      <c r="AJ75" s="29"/>
      <c r="AK75" s="29"/>
      <c r="AL75" s="29"/>
      <c r="AM75" s="55"/>
      <c r="AN75" s="29"/>
      <c r="AO75" s="29"/>
      <c r="AP75" s="29"/>
      <c r="AQ75" s="55"/>
      <c r="AR75" s="29"/>
      <c r="AS75" s="29"/>
      <c r="AT75" s="29"/>
      <c r="AU75" s="172" t="s">
        <v>608</v>
      </c>
      <c r="AV75" s="29"/>
      <c r="AW75" s="29"/>
      <c r="AX75" s="29"/>
      <c r="AY75" s="55"/>
      <c r="AZ75" s="29"/>
      <c r="BA75" s="29"/>
      <c r="BB75" s="29"/>
      <c r="BC75" s="172" t="s">
        <v>751</v>
      </c>
      <c r="BD75" s="29"/>
      <c r="BE75" s="29"/>
      <c r="BF75" s="29"/>
      <c r="BG75" s="55"/>
      <c r="BH75" s="29"/>
      <c r="BI75" s="29"/>
      <c r="BJ75" s="29"/>
      <c r="BK75" s="172" t="s">
        <v>751</v>
      </c>
      <c r="BL75" s="29"/>
      <c r="BM75" s="29"/>
      <c r="BN75" s="29"/>
      <c r="BO75" s="55"/>
      <c r="BP75" s="29"/>
      <c r="BQ75" s="29"/>
      <c r="BR75" s="29"/>
      <c r="BS75" s="55"/>
      <c r="BT75" s="29"/>
      <c r="BU75" s="29"/>
      <c r="BV75" s="29"/>
      <c r="BW75" s="55"/>
      <c r="BX75" s="29"/>
      <c r="BY75" s="29"/>
      <c r="BZ75" s="29"/>
      <c r="CA75" s="29"/>
    </row>
    <row r="76" spans="1:79" hidden="1">
      <c r="A76" s="71" t="s">
        <v>1242</v>
      </c>
      <c r="B76" s="297"/>
      <c r="C76" s="307" t="s">
        <v>935</v>
      </c>
      <c r="D76" s="299" t="str">
        <f t="shared" si="24"/>
        <v xml:space="preserve"> 794</v>
      </c>
      <c r="E76" s="308" t="s">
        <v>935</v>
      </c>
      <c r="F76" s="301">
        <f t="shared" si="25"/>
        <v>0</v>
      </c>
      <c r="G76" s="302" t="s">
        <v>1063</v>
      </c>
      <c r="H76" s="302" t="s">
        <v>141</v>
      </c>
      <c r="I76" s="302" t="s">
        <v>1107</v>
      </c>
      <c r="J76" s="303">
        <v>128000</v>
      </c>
      <c r="K76" s="312">
        <f t="shared" si="18"/>
        <v>6150</v>
      </c>
      <c r="L76" s="301" t="s">
        <v>69</v>
      </c>
      <c r="M76" s="305">
        <f t="shared" si="15"/>
        <v>121850</v>
      </c>
      <c r="N76" s="305">
        <f>2000+200+350+600+3000</f>
        <v>6150</v>
      </c>
      <c r="O76" s="306">
        <f t="shared" si="26"/>
        <v>128000</v>
      </c>
      <c r="P76" s="294"/>
      <c r="Q76" s="292" t="s">
        <v>1165</v>
      </c>
      <c r="R76" s="22"/>
      <c r="S76" s="22">
        <f t="shared" si="19"/>
        <v>128000</v>
      </c>
      <c r="T76" s="22">
        <f t="shared" si="20"/>
        <v>182857.14285714287</v>
      </c>
      <c r="U76" s="23">
        <f t="shared" si="21"/>
        <v>208979.5918367347</v>
      </c>
      <c r="V76" s="24">
        <f t="shared" si="22"/>
        <v>0.12499999999999999</v>
      </c>
      <c r="W76" s="23">
        <f t="shared" si="27"/>
        <v>209000</v>
      </c>
      <c r="X76" s="164">
        <f t="shared" si="23"/>
        <v>0.30000000000000004</v>
      </c>
      <c r="Y76" s="253">
        <v>195000</v>
      </c>
      <c r="Z76" s="188">
        <f>T76-Y76</f>
        <v>-12142.85714285713</v>
      </c>
      <c r="AA76" s="189">
        <f>Z76/Y76</f>
        <v>-6.2271062271062209E-2</v>
      </c>
      <c r="AB76" s="34"/>
      <c r="AC76" s="164"/>
      <c r="AD76" s="42"/>
      <c r="AE76" s="43"/>
      <c r="AF76" s="29"/>
      <c r="AG76" s="29"/>
      <c r="AH76" s="29"/>
      <c r="AI76" s="172" t="s">
        <v>608</v>
      </c>
      <c r="AJ76" s="29"/>
      <c r="AK76" s="29"/>
      <c r="AL76" s="29"/>
      <c r="AM76" s="55"/>
      <c r="AN76" s="29"/>
      <c r="AO76" s="29"/>
      <c r="AP76" s="29"/>
      <c r="AQ76" s="55"/>
      <c r="AR76" s="29"/>
      <c r="AS76" s="29"/>
      <c r="AT76" s="29"/>
      <c r="AU76" s="172" t="s">
        <v>608</v>
      </c>
      <c r="AV76" s="29"/>
      <c r="AW76" s="29"/>
      <c r="AX76" s="29"/>
      <c r="AY76" s="55"/>
      <c r="AZ76" s="29"/>
      <c r="BA76" s="29"/>
      <c r="BB76" s="29"/>
      <c r="BC76" s="172" t="s">
        <v>751</v>
      </c>
      <c r="BD76" s="29"/>
      <c r="BE76" s="29"/>
      <c r="BF76" s="29"/>
      <c r="BG76" s="55"/>
      <c r="BH76" s="29"/>
      <c r="BI76" s="29"/>
      <c r="BJ76" s="29"/>
      <c r="BK76" s="172" t="s">
        <v>751</v>
      </c>
      <c r="BL76" s="29"/>
      <c r="BM76" s="29"/>
      <c r="BN76" s="29"/>
      <c r="BO76" s="55"/>
      <c r="BP76" s="29"/>
      <c r="BQ76" s="29"/>
      <c r="BR76" s="29"/>
      <c r="BS76" s="55"/>
      <c r="BT76" s="29"/>
      <c r="BU76" s="29"/>
      <c r="BV76" s="29"/>
      <c r="BW76" s="55"/>
      <c r="BX76" s="29"/>
      <c r="BY76" s="29"/>
      <c r="BZ76" s="29"/>
      <c r="CA76" s="29"/>
    </row>
    <row r="77" spans="1:79" hidden="1">
      <c r="A77" s="71" t="s">
        <v>1242</v>
      </c>
      <c r="B77" s="297"/>
      <c r="C77" s="307" t="s">
        <v>936</v>
      </c>
      <c r="D77" s="299" t="str">
        <f t="shared" si="24"/>
        <v xml:space="preserve"> 170</v>
      </c>
      <c r="E77" s="308" t="s">
        <v>936</v>
      </c>
      <c r="F77" s="301">
        <f t="shared" si="25"/>
        <v>0</v>
      </c>
      <c r="G77" s="302" t="s">
        <v>1063</v>
      </c>
      <c r="H77" s="302" t="s">
        <v>178</v>
      </c>
      <c r="I77" s="302" t="s">
        <v>1107</v>
      </c>
      <c r="J77" s="303">
        <v>94000</v>
      </c>
      <c r="K77" s="312">
        <f t="shared" si="18"/>
        <v>4600</v>
      </c>
      <c r="L77" s="301" t="s">
        <v>69</v>
      </c>
      <c r="M77" s="305">
        <f t="shared" si="15"/>
        <v>89400</v>
      </c>
      <c r="N77" s="305">
        <f>2000+200+600+650+750+400</f>
        <v>4600</v>
      </c>
      <c r="O77" s="306">
        <f t="shared" si="26"/>
        <v>94000</v>
      </c>
      <c r="P77" s="294"/>
      <c r="Q77" s="292" t="s">
        <v>1166</v>
      </c>
      <c r="R77" s="22"/>
      <c r="S77" s="22">
        <f t="shared" si="19"/>
        <v>94000</v>
      </c>
      <c r="T77" s="22">
        <f t="shared" si="20"/>
        <v>134285.71428571429</v>
      </c>
      <c r="U77" s="23">
        <f t="shared" si="21"/>
        <v>153469.38775510204</v>
      </c>
      <c r="V77" s="24">
        <f t="shared" si="22"/>
        <v>0.12499999999999997</v>
      </c>
      <c r="W77" s="23">
        <f t="shared" si="27"/>
        <v>153500</v>
      </c>
      <c r="X77" s="164">
        <f t="shared" si="23"/>
        <v>0.30000000000000004</v>
      </c>
      <c r="Y77" s="25"/>
      <c r="Z77" s="25"/>
      <c r="AA77" s="25"/>
      <c r="AB77" s="34"/>
      <c r="AC77" s="164"/>
      <c r="AD77" s="35"/>
      <c r="AE77" s="36"/>
      <c r="AF77" s="29"/>
      <c r="AG77" s="29"/>
      <c r="AH77" s="30"/>
      <c r="AI77" s="172" t="s">
        <v>608</v>
      </c>
      <c r="AJ77" s="29"/>
      <c r="AK77" s="29"/>
      <c r="AL77" s="30"/>
      <c r="AM77" s="55"/>
      <c r="AN77" s="29"/>
      <c r="AO77" s="29"/>
      <c r="AP77" s="30"/>
      <c r="AQ77" s="55"/>
      <c r="AR77" s="29"/>
      <c r="AS77" s="29"/>
      <c r="AT77" s="30"/>
      <c r="AU77" s="172" t="s">
        <v>608</v>
      </c>
      <c r="AV77" s="29"/>
      <c r="AW77" s="29"/>
      <c r="AX77" s="30"/>
      <c r="AY77" s="55"/>
      <c r="AZ77" s="29"/>
      <c r="BA77" s="29"/>
      <c r="BB77" s="30"/>
      <c r="BC77" s="172" t="s">
        <v>751</v>
      </c>
      <c r="BD77" s="29"/>
      <c r="BE77" s="29"/>
      <c r="BF77" s="30"/>
      <c r="BG77" s="55"/>
      <c r="BH77" s="29"/>
      <c r="BI77" s="29"/>
      <c r="BJ77" s="30"/>
      <c r="BK77" s="172" t="s">
        <v>751</v>
      </c>
      <c r="BL77" s="29"/>
      <c r="BM77" s="29"/>
      <c r="BN77" s="30"/>
      <c r="BO77" s="55"/>
      <c r="BP77" s="29"/>
      <c r="BQ77" s="29"/>
      <c r="BR77" s="30"/>
      <c r="BS77" s="55"/>
      <c r="BT77" s="29"/>
      <c r="BU77" s="29"/>
      <c r="BV77" s="30"/>
      <c r="BW77" s="55"/>
      <c r="BX77" s="29"/>
      <c r="BY77" s="29"/>
      <c r="BZ77" s="30"/>
      <c r="CA77" s="31"/>
    </row>
    <row r="78" spans="1:79" hidden="1">
      <c r="A78" s="71" t="s">
        <v>1242</v>
      </c>
      <c r="B78" s="297"/>
      <c r="C78" s="307" t="s">
        <v>937</v>
      </c>
      <c r="D78" s="299" t="str">
        <f t="shared" si="24"/>
        <v xml:space="preserve"> 305</v>
      </c>
      <c r="E78" s="308" t="s">
        <v>937</v>
      </c>
      <c r="F78" s="301">
        <f t="shared" si="25"/>
        <v>0</v>
      </c>
      <c r="G78" s="302" t="s">
        <v>1063</v>
      </c>
      <c r="H78" s="302" t="s">
        <v>151</v>
      </c>
      <c r="I78" s="302" t="s">
        <v>1107</v>
      </c>
      <c r="J78" s="303">
        <v>98000</v>
      </c>
      <c r="K78" s="312">
        <f t="shared" si="18"/>
        <v>7150</v>
      </c>
      <c r="L78" s="301" t="s">
        <v>69</v>
      </c>
      <c r="M78" s="305">
        <f t="shared" si="15"/>
        <v>90850</v>
      </c>
      <c r="N78" s="305">
        <f>2000+200+350+600+1000+3000</f>
        <v>7150</v>
      </c>
      <c r="O78" s="306">
        <f t="shared" si="26"/>
        <v>98000</v>
      </c>
      <c r="P78" s="294"/>
      <c r="Q78" s="292" t="s">
        <v>1167</v>
      </c>
      <c r="R78" s="22"/>
      <c r="S78" s="22">
        <f t="shared" si="19"/>
        <v>98000</v>
      </c>
      <c r="T78" s="22">
        <f t="shared" si="20"/>
        <v>140000</v>
      </c>
      <c r="U78" s="23">
        <f t="shared" si="21"/>
        <v>160000</v>
      </c>
      <c r="V78" s="24">
        <f t="shared" si="22"/>
        <v>0.125</v>
      </c>
      <c r="W78" s="23">
        <f t="shared" si="27"/>
        <v>160000</v>
      </c>
      <c r="X78" s="164">
        <f t="shared" si="23"/>
        <v>0.3</v>
      </c>
      <c r="Y78" s="25"/>
      <c r="Z78" s="25"/>
      <c r="AA78" s="25"/>
      <c r="AB78" s="34"/>
      <c r="AC78" s="164"/>
      <c r="AD78" s="46"/>
      <c r="AE78" s="49"/>
      <c r="AF78" s="29"/>
      <c r="AG78" s="29"/>
      <c r="AH78" s="30"/>
      <c r="AI78" s="172" t="s">
        <v>608</v>
      </c>
      <c r="AJ78" s="29"/>
      <c r="AK78" s="29"/>
      <c r="AL78" s="30"/>
      <c r="AM78" s="55"/>
      <c r="AN78" s="29"/>
      <c r="AO78" s="29"/>
      <c r="AP78" s="30"/>
      <c r="AQ78" s="55"/>
      <c r="AR78" s="29"/>
      <c r="AS78" s="29"/>
      <c r="AT78" s="30"/>
      <c r="AU78" s="172" t="s">
        <v>608</v>
      </c>
      <c r="AV78" s="29"/>
      <c r="AW78" s="29"/>
      <c r="AX78" s="30"/>
      <c r="AY78" s="55"/>
      <c r="AZ78" s="29"/>
      <c r="BA78" s="29"/>
      <c r="BB78" s="30"/>
      <c r="BC78" s="172" t="s">
        <v>751</v>
      </c>
      <c r="BD78" s="29"/>
      <c r="BE78" s="29"/>
      <c r="BF78" s="30"/>
      <c r="BG78" s="55"/>
      <c r="BH78" s="29"/>
      <c r="BI78" s="29"/>
      <c r="BJ78" s="30"/>
      <c r="BK78" s="172" t="s">
        <v>751</v>
      </c>
      <c r="BL78" s="29"/>
      <c r="BM78" s="29"/>
      <c r="BN78" s="30"/>
      <c r="BO78" s="55"/>
      <c r="BP78" s="29"/>
      <c r="BQ78" s="29"/>
      <c r="BR78" s="30"/>
      <c r="BS78" s="55"/>
      <c r="BT78" s="29"/>
      <c r="BU78" s="29"/>
      <c r="BV78" s="30"/>
      <c r="BW78" s="55"/>
      <c r="BX78" s="29"/>
      <c r="BY78" s="29"/>
      <c r="BZ78" s="30"/>
      <c r="CA78" s="31"/>
    </row>
    <row r="79" spans="1:79" hidden="1">
      <c r="A79" s="71" t="s">
        <v>1242</v>
      </c>
      <c r="B79" s="297"/>
      <c r="C79" s="307" t="s">
        <v>938</v>
      </c>
      <c r="D79" s="299" t="str">
        <f t="shared" si="24"/>
        <v xml:space="preserve"> 928</v>
      </c>
      <c r="E79" s="308" t="s">
        <v>938</v>
      </c>
      <c r="F79" s="301">
        <f t="shared" si="25"/>
        <v>0</v>
      </c>
      <c r="G79" s="302" t="s">
        <v>1063</v>
      </c>
      <c r="H79" s="302" t="s">
        <v>151</v>
      </c>
      <c r="I79" s="302" t="s">
        <v>1107</v>
      </c>
      <c r="J79" s="303">
        <v>98000</v>
      </c>
      <c r="K79" s="312">
        <f t="shared" si="18"/>
        <v>7150</v>
      </c>
      <c r="L79" s="301" t="s">
        <v>69</v>
      </c>
      <c r="M79" s="305">
        <f t="shared" si="15"/>
        <v>90850</v>
      </c>
      <c r="N79" s="305">
        <f>2000+200+350+600+1000+3000</f>
        <v>7150</v>
      </c>
      <c r="O79" s="306">
        <f t="shared" si="26"/>
        <v>98000</v>
      </c>
      <c r="P79" s="294"/>
      <c r="Q79" s="292" t="s">
        <v>1167</v>
      </c>
      <c r="R79" s="22"/>
      <c r="S79" s="22">
        <f t="shared" si="19"/>
        <v>98000</v>
      </c>
      <c r="T79" s="22">
        <f t="shared" si="20"/>
        <v>140000</v>
      </c>
      <c r="U79" s="23">
        <f t="shared" si="21"/>
        <v>160000</v>
      </c>
      <c r="V79" s="24">
        <f t="shared" si="22"/>
        <v>0.125</v>
      </c>
      <c r="W79" s="23">
        <f t="shared" si="27"/>
        <v>160000</v>
      </c>
      <c r="X79" s="164">
        <f t="shared" si="23"/>
        <v>0.3</v>
      </c>
      <c r="Y79" s="25"/>
      <c r="Z79" s="25"/>
      <c r="AA79" s="25"/>
      <c r="AB79" s="26" t="s">
        <v>95</v>
      </c>
      <c r="AC79" s="164" t="e">
        <f>AVERAGE(X79,X78,#REF!,X77,X76,X75,X74,X73)</f>
        <v>#REF!</v>
      </c>
      <c r="AD79" s="42" t="e">
        <f>AVERAGE(T73,T74,T75,T76,T77,#REF!,T78,T79)</f>
        <v>#REF!</v>
      </c>
      <c r="AE79" s="28">
        <f>AVERAGE(AI79,AM79,AQ79,AU79,BC79,BK79,BO79,BS79,BW79)</f>
        <v>186579.25</v>
      </c>
      <c r="AF79" s="180">
        <v>193809.52380952382</v>
      </c>
      <c r="AG79" s="181">
        <v>176286</v>
      </c>
      <c r="AH79" s="73" t="e">
        <f>(AD79-AF79)/AF79</f>
        <v>#REF!</v>
      </c>
      <c r="AI79" s="41">
        <v>185017</v>
      </c>
      <c r="AJ79" s="180">
        <v>199835</v>
      </c>
      <c r="AK79" s="180">
        <v>174539</v>
      </c>
      <c r="AL79" s="21">
        <f>(AI79-AJ79)/AJ79</f>
        <v>-7.4151174719143287E-2</v>
      </c>
      <c r="AM79" s="55"/>
      <c r="AN79" s="29"/>
      <c r="AO79" s="29"/>
      <c r="AP79" s="30"/>
      <c r="AQ79" s="55"/>
      <c r="AR79" s="29"/>
      <c r="AS79" s="29"/>
      <c r="AT79" s="30"/>
      <c r="AU79" s="59">
        <v>169425</v>
      </c>
      <c r="AV79" s="180">
        <f>127890/0.7</f>
        <v>182700</v>
      </c>
      <c r="AW79" s="180">
        <v>172800</v>
      </c>
      <c r="AX79" s="21">
        <f>(AU79-AV79)/AV79</f>
        <v>-7.2660098522167482E-2</v>
      </c>
      <c r="AY79" s="57"/>
      <c r="AZ79" s="29"/>
      <c r="BA79" s="29"/>
      <c r="BB79" s="30"/>
      <c r="BC79" s="59">
        <v>183126</v>
      </c>
      <c r="BD79" s="180">
        <v>166320</v>
      </c>
      <c r="BE79" s="180">
        <v>169309</v>
      </c>
      <c r="BF79" s="21">
        <f>(BC79-BD79)/BD79</f>
        <v>0.10104617604617605</v>
      </c>
      <c r="BG79" s="57"/>
      <c r="BH79" s="29"/>
      <c r="BI79" s="29"/>
      <c r="BJ79" s="30"/>
      <c r="BK79" s="44">
        <v>208749</v>
      </c>
      <c r="BL79" s="29"/>
      <c r="BM79" s="180">
        <v>199000</v>
      </c>
      <c r="BN79" s="30"/>
      <c r="BO79" s="55"/>
      <c r="BP79" s="180">
        <f>151413/0.7</f>
        <v>216304.28571428574</v>
      </c>
      <c r="BQ79" s="180">
        <v>168960</v>
      </c>
      <c r="BR79" s="21">
        <f>(BP79-BQ79)/BQ79</f>
        <v>0.28021002435064951</v>
      </c>
      <c r="BS79" s="57"/>
      <c r="BT79" s="29"/>
      <c r="BU79" s="29"/>
      <c r="BV79" s="30"/>
      <c r="BW79" s="55"/>
      <c r="BX79" s="29"/>
      <c r="BY79" s="29"/>
      <c r="BZ79" s="30"/>
      <c r="CA79" s="31"/>
    </row>
    <row r="80" spans="1:79" hidden="1">
      <c r="B80" s="297"/>
      <c r="C80" s="307" t="s">
        <v>939</v>
      </c>
      <c r="D80" s="299" t="str">
        <f t="shared" si="24"/>
        <v xml:space="preserve"> 540</v>
      </c>
      <c r="E80" s="308" t="s">
        <v>939</v>
      </c>
      <c r="F80" s="301">
        <f t="shared" si="25"/>
        <v>0</v>
      </c>
      <c r="G80" s="302" t="s">
        <v>1063</v>
      </c>
      <c r="H80" s="302" t="s">
        <v>1072</v>
      </c>
      <c r="I80" s="302" t="s">
        <v>1108</v>
      </c>
      <c r="J80" s="303">
        <v>50000</v>
      </c>
      <c r="K80" s="312">
        <f t="shared" si="18"/>
        <v>6750</v>
      </c>
      <c r="L80" s="301" t="s">
        <v>69</v>
      </c>
      <c r="M80" s="305">
        <f t="shared" si="15"/>
        <v>43250</v>
      </c>
      <c r="N80" s="305">
        <v>6750</v>
      </c>
      <c r="O80" s="306">
        <f t="shared" si="26"/>
        <v>50000</v>
      </c>
      <c r="P80" s="294"/>
      <c r="Q80" s="292" t="s">
        <v>1168</v>
      </c>
      <c r="R80" s="22"/>
      <c r="S80" s="22">
        <f t="shared" si="19"/>
        <v>50000</v>
      </c>
      <c r="T80" s="22">
        <f t="shared" si="20"/>
        <v>71428.571428571435</v>
      </c>
      <c r="U80" s="23">
        <f t="shared" si="21"/>
        <v>81632.653061224497</v>
      </c>
      <c r="V80" s="24">
        <f t="shared" si="22"/>
        <v>0.125</v>
      </c>
      <c r="W80" s="23">
        <f t="shared" si="27"/>
        <v>81700</v>
      </c>
      <c r="X80" s="164">
        <f t="shared" si="23"/>
        <v>0.30000000000000004</v>
      </c>
      <c r="Y80" s="25"/>
      <c r="Z80" s="25"/>
      <c r="AA80" s="25"/>
      <c r="AB80" s="34"/>
      <c r="AC80" s="164"/>
      <c r="AD80" s="35"/>
      <c r="AE80" s="36"/>
      <c r="AF80" s="29"/>
      <c r="AG80" s="29"/>
      <c r="AH80" s="30"/>
      <c r="AI80" s="178" t="s">
        <v>608</v>
      </c>
      <c r="AJ80" s="29"/>
      <c r="AK80" s="29"/>
      <c r="AL80" s="30"/>
      <c r="AM80" s="55"/>
      <c r="AN80" s="29"/>
      <c r="AO80" s="29"/>
      <c r="AP80" s="30"/>
      <c r="AQ80" s="55"/>
      <c r="AR80" s="29"/>
      <c r="AS80" s="29"/>
      <c r="AT80" s="30"/>
      <c r="AU80" s="178" t="s">
        <v>608</v>
      </c>
      <c r="AV80" s="29"/>
      <c r="AW80" s="29"/>
      <c r="AX80" s="30"/>
      <c r="AY80" s="55"/>
      <c r="AZ80" s="29"/>
      <c r="BA80" s="29"/>
      <c r="BB80" s="30"/>
      <c r="BC80" s="178" t="s">
        <v>751</v>
      </c>
      <c r="BD80" s="29"/>
      <c r="BE80" s="29"/>
      <c r="BF80" s="30"/>
      <c r="BG80" s="55"/>
      <c r="BH80" s="29"/>
      <c r="BI80" s="29"/>
      <c r="BJ80" s="30"/>
      <c r="BK80" s="178"/>
      <c r="BL80" s="29"/>
      <c r="BM80" s="29"/>
      <c r="BN80" s="30"/>
      <c r="BO80" s="55"/>
      <c r="BP80" s="29"/>
      <c r="BQ80" s="29"/>
      <c r="BR80" s="30"/>
      <c r="BS80" s="55"/>
      <c r="BT80" s="29"/>
      <c r="BU80" s="29"/>
      <c r="BV80" s="30"/>
      <c r="BW80" s="55"/>
      <c r="BX80" s="29"/>
      <c r="BY80" s="29"/>
      <c r="BZ80" s="30"/>
      <c r="CA80" s="31"/>
    </row>
    <row r="81" spans="2:79" hidden="1">
      <c r="B81" s="297"/>
      <c r="C81" s="307" t="s">
        <v>940</v>
      </c>
      <c r="D81" s="299" t="str">
        <f t="shared" si="24"/>
        <v xml:space="preserve"> 498</v>
      </c>
      <c r="E81" s="308" t="s">
        <v>940</v>
      </c>
      <c r="F81" s="301">
        <f t="shared" si="25"/>
        <v>0</v>
      </c>
      <c r="G81" s="302" t="s">
        <v>1063</v>
      </c>
      <c r="H81" s="302" t="s">
        <v>1072</v>
      </c>
      <c r="I81" s="302" t="s">
        <v>1108</v>
      </c>
      <c r="J81" s="303">
        <v>50000</v>
      </c>
      <c r="K81" s="312">
        <f t="shared" si="18"/>
        <v>6750</v>
      </c>
      <c r="L81" s="301" t="s">
        <v>69</v>
      </c>
      <c r="M81" s="305">
        <f t="shared" si="15"/>
        <v>43250</v>
      </c>
      <c r="N81" s="305">
        <v>6750</v>
      </c>
      <c r="O81" s="306">
        <f t="shared" si="26"/>
        <v>50000</v>
      </c>
      <c r="P81" s="294"/>
      <c r="Q81" s="292" t="s">
        <v>1168</v>
      </c>
      <c r="R81" s="22"/>
      <c r="S81" s="22">
        <f t="shared" si="19"/>
        <v>50000</v>
      </c>
      <c r="T81" s="22">
        <f t="shared" si="20"/>
        <v>71428.571428571435</v>
      </c>
      <c r="U81" s="23">
        <f t="shared" si="21"/>
        <v>81632.653061224497</v>
      </c>
      <c r="V81" s="24">
        <f t="shared" si="22"/>
        <v>0.125</v>
      </c>
      <c r="W81" s="23">
        <f t="shared" si="27"/>
        <v>81700</v>
      </c>
      <c r="X81" s="164">
        <f t="shared" si="23"/>
        <v>0.30000000000000004</v>
      </c>
      <c r="Y81" s="25"/>
      <c r="Z81" s="25"/>
      <c r="AA81" s="25"/>
      <c r="AB81" s="34"/>
      <c r="AC81" s="164"/>
      <c r="AD81" s="35"/>
      <c r="AE81" s="36"/>
      <c r="AF81" s="29"/>
      <c r="AG81" s="29"/>
      <c r="AH81" s="30"/>
      <c r="AI81" s="55"/>
      <c r="AJ81" s="29"/>
      <c r="AK81" s="29"/>
      <c r="AL81" s="30"/>
      <c r="AM81" s="55"/>
      <c r="AN81" s="29"/>
      <c r="AO81" s="29"/>
      <c r="AP81" s="30"/>
      <c r="AQ81" s="55"/>
      <c r="AR81" s="29"/>
      <c r="AS81" s="29"/>
      <c r="AT81" s="30"/>
      <c r="AU81" s="55"/>
      <c r="AV81" s="29"/>
      <c r="AW81" s="29"/>
      <c r="AX81" s="30"/>
      <c r="AY81" s="55"/>
      <c r="AZ81" s="29"/>
      <c r="BA81" s="29"/>
      <c r="BB81" s="30"/>
      <c r="BC81" s="55"/>
      <c r="BD81" s="29"/>
      <c r="BE81" s="29"/>
      <c r="BF81" s="30"/>
      <c r="BG81" s="55"/>
      <c r="BH81" s="29"/>
      <c r="BI81" s="29"/>
      <c r="BJ81" s="30"/>
      <c r="BK81" s="55"/>
      <c r="BL81" s="29"/>
      <c r="BM81" s="29"/>
      <c r="BN81" s="30"/>
      <c r="BO81" s="55"/>
      <c r="BP81" s="29"/>
      <c r="BQ81" s="29"/>
      <c r="BR81" s="30"/>
      <c r="BS81" s="55"/>
      <c r="BT81" s="29"/>
      <c r="BU81" s="29"/>
      <c r="BV81" s="30"/>
      <c r="BW81" s="55"/>
      <c r="BX81" s="29"/>
      <c r="BY81" s="29"/>
      <c r="BZ81" s="30"/>
      <c r="CA81" s="31"/>
    </row>
    <row r="82" spans="2:79" hidden="1">
      <c r="B82" s="297"/>
      <c r="C82" s="307" t="s">
        <v>941</v>
      </c>
      <c r="D82" s="299" t="str">
        <f>REPLACE(C82,1,3, )</f>
        <v xml:space="preserve"> 316</v>
      </c>
      <c r="E82" s="308" t="s">
        <v>941</v>
      </c>
      <c r="F82" s="301">
        <f>IF(C82=E82,0,1)</f>
        <v>0</v>
      </c>
      <c r="G82" s="302" t="s">
        <v>1063</v>
      </c>
      <c r="H82" s="302" t="s">
        <v>1078</v>
      </c>
      <c r="I82" s="302" t="s">
        <v>1109</v>
      </c>
      <c r="J82" s="303">
        <v>88000</v>
      </c>
      <c r="K82" s="312">
        <f>J82-M82</f>
        <v>6150</v>
      </c>
      <c r="L82" s="301" t="s">
        <v>69</v>
      </c>
      <c r="M82" s="305">
        <f t="shared" si="15"/>
        <v>81850</v>
      </c>
      <c r="N82" s="316">
        <v>6150</v>
      </c>
      <c r="O82" s="306">
        <f>M82+N82</f>
        <v>88000</v>
      </c>
      <c r="P82" s="295"/>
      <c r="Q82" s="292" t="s">
        <v>1169</v>
      </c>
      <c r="R82" s="22"/>
      <c r="S82" s="22">
        <f>R82+O82</f>
        <v>88000</v>
      </c>
      <c r="T82" s="22">
        <f>S82/0.7</f>
        <v>125714.28571428572</v>
      </c>
      <c r="U82" s="23">
        <f>T82/0.875</f>
        <v>143673.46938775512</v>
      </c>
      <c r="V82" s="24">
        <f>(U82-T82)/U82</f>
        <v>0.12500000000000003</v>
      </c>
      <c r="W82" s="23">
        <f>(ROUNDUP((U82/100),0))*100</f>
        <v>143700</v>
      </c>
      <c r="X82" s="164">
        <f>(T82-O82)/T82</f>
        <v>0.30000000000000004</v>
      </c>
      <c r="Y82" s="25"/>
      <c r="Z82" s="25"/>
      <c r="AA82" s="25"/>
      <c r="AB82" s="34"/>
      <c r="AC82" s="164"/>
      <c r="AD82" s="46"/>
      <c r="AE82" s="49"/>
      <c r="AF82" s="29"/>
      <c r="AG82" s="29"/>
      <c r="AH82" s="30"/>
      <c r="AI82" s="178" t="s">
        <v>608</v>
      </c>
      <c r="AJ82" s="29"/>
      <c r="AK82" s="29"/>
      <c r="AL82" s="30"/>
      <c r="AM82" s="55"/>
      <c r="AN82" s="29"/>
      <c r="AO82" s="29"/>
      <c r="AP82" s="30"/>
      <c r="AQ82" s="55"/>
      <c r="AR82" s="29"/>
      <c r="AS82" s="29"/>
      <c r="AT82" s="30"/>
      <c r="AU82" s="178" t="s">
        <v>608</v>
      </c>
      <c r="AV82" s="29"/>
      <c r="AW82" s="29"/>
      <c r="AX82" s="30"/>
      <c r="AY82" s="55"/>
      <c r="AZ82" s="29"/>
      <c r="BA82" s="29"/>
      <c r="BB82" s="30"/>
      <c r="BC82" s="178" t="s">
        <v>751</v>
      </c>
      <c r="BD82" s="29"/>
      <c r="BE82" s="29"/>
      <c r="BF82" s="30"/>
      <c r="BG82" s="55"/>
      <c r="BH82" s="29"/>
      <c r="BI82" s="29"/>
      <c r="BJ82" s="30"/>
      <c r="BK82" s="178"/>
      <c r="BL82" s="29"/>
      <c r="BM82" s="29"/>
      <c r="BN82" s="30"/>
      <c r="BO82" s="55"/>
      <c r="BP82" s="29"/>
      <c r="BQ82" s="29"/>
      <c r="BR82" s="30"/>
      <c r="BS82" s="55"/>
      <c r="BT82" s="29"/>
      <c r="BU82" s="29"/>
      <c r="BV82" s="30"/>
      <c r="BW82" s="55"/>
      <c r="BX82" s="29"/>
      <c r="BY82" s="29"/>
      <c r="BZ82" s="30"/>
      <c r="CA82" s="31"/>
    </row>
    <row r="83" spans="2:79" hidden="1">
      <c r="B83" s="297"/>
      <c r="C83" s="307" t="s">
        <v>942</v>
      </c>
      <c r="D83" s="299" t="str">
        <f t="shared" si="24"/>
        <v xml:space="preserve"> 446</v>
      </c>
      <c r="E83" s="308" t="s">
        <v>942</v>
      </c>
      <c r="F83" s="301">
        <f t="shared" si="25"/>
        <v>0</v>
      </c>
      <c r="G83" s="302" t="s">
        <v>1063</v>
      </c>
      <c r="H83" s="302" t="s">
        <v>1078</v>
      </c>
      <c r="I83" s="302" t="s">
        <v>1109</v>
      </c>
      <c r="J83" s="303">
        <v>83000</v>
      </c>
      <c r="K83" s="312">
        <f t="shared" si="18"/>
        <v>6150</v>
      </c>
      <c r="L83" s="301" t="s">
        <v>69</v>
      </c>
      <c r="M83" s="305">
        <f t="shared" si="15"/>
        <v>76850</v>
      </c>
      <c r="N83" s="316">
        <v>6150</v>
      </c>
      <c r="O83" s="306">
        <f t="shared" si="26"/>
        <v>83000</v>
      </c>
      <c r="P83" s="295"/>
      <c r="Q83" s="292" t="s">
        <v>1169</v>
      </c>
      <c r="R83" s="22"/>
      <c r="S83" s="22">
        <f t="shared" si="19"/>
        <v>83000</v>
      </c>
      <c r="T83" s="22">
        <f t="shared" si="20"/>
        <v>118571.42857142858</v>
      </c>
      <c r="U83" s="23">
        <f t="shared" si="21"/>
        <v>135510.20408163266</v>
      </c>
      <c r="V83" s="24">
        <f t="shared" si="22"/>
        <v>0.125</v>
      </c>
      <c r="W83" s="23">
        <f t="shared" si="27"/>
        <v>135600</v>
      </c>
      <c r="X83" s="164">
        <f t="shared" si="23"/>
        <v>0.30000000000000004</v>
      </c>
      <c r="Y83" s="25"/>
      <c r="Z83" s="25"/>
      <c r="AA83" s="25"/>
      <c r="AB83" s="34"/>
      <c r="AC83" s="164"/>
      <c r="AD83" s="35"/>
      <c r="AE83" s="36"/>
      <c r="AF83" s="29"/>
      <c r="AG83" s="29"/>
      <c r="AH83" s="30"/>
      <c r="AI83" s="55"/>
      <c r="AJ83" s="29"/>
      <c r="AK83" s="29"/>
      <c r="AL83" s="30"/>
      <c r="AM83" s="55"/>
      <c r="AN83" s="29"/>
      <c r="AO83" s="29"/>
      <c r="AP83" s="30"/>
      <c r="AQ83" s="55"/>
      <c r="AR83" s="29"/>
      <c r="AS83" s="29"/>
      <c r="AT83" s="30"/>
      <c r="AU83" s="55"/>
      <c r="AV83" s="29"/>
      <c r="AW83" s="29"/>
      <c r="AX83" s="30"/>
      <c r="AY83" s="55"/>
      <c r="AZ83" s="29"/>
      <c r="BA83" s="29"/>
      <c r="BB83" s="30"/>
      <c r="BC83" s="55"/>
      <c r="BD83" s="29"/>
      <c r="BE83" s="29"/>
      <c r="BF83" s="30"/>
      <c r="BG83" s="55"/>
      <c r="BH83" s="29"/>
      <c r="BI83" s="29"/>
      <c r="BJ83" s="30"/>
      <c r="BK83" s="55"/>
      <c r="BL83" s="29"/>
      <c r="BM83" s="29"/>
      <c r="BN83" s="30"/>
      <c r="BO83" s="55"/>
      <c r="BP83" s="29"/>
      <c r="BQ83" s="29"/>
      <c r="BR83" s="30"/>
      <c r="BS83" s="55"/>
      <c r="BT83" s="29"/>
      <c r="BU83" s="29"/>
      <c r="BV83" s="30"/>
      <c r="BW83" s="55"/>
      <c r="BX83" s="29"/>
      <c r="BY83" s="29"/>
      <c r="BZ83" s="30"/>
      <c r="CA83" s="31"/>
    </row>
    <row r="84" spans="2:79" hidden="1">
      <c r="B84" s="297"/>
      <c r="C84" s="307" t="s">
        <v>943</v>
      </c>
      <c r="D84" s="299" t="str">
        <f t="shared" si="24"/>
        <v xml:space="preserve"> 517</v>
      </c>
      <c r="E84" s="308" t="s">
        <v>943</v>
      </c>
      <c r="F84" s="301">
        <f t="shared" si="25"/>
        <v>0</v>
      </c>
      <c r="G84" s="302" t="s">
        <v>1063</v>
      </c>
      <c r="H84" s="302" t="s">
        <v>1078</v>
      </c>
      <c r="I84" s="302" t="s">
        <v>1109</v>
      </c>
      <c r="J84" s="303">
        <v>88000</v>
      </c>
      <c r="K84" s="312">
        <f t="shared" si="18"/>
        <v>6150</v>
      </c>
      <c r="L84" s="301" t="s">
        <v>69</v>
      </c>
      <c r="M84" s="305">
        <f t="shared" si="15"/>
        <v>81850</v>
      </c>
      <c r="N84" s="316">
        <v>6150</v>
      </c>
      <c r="O84" s="306">
        <f t="shared" si="26"/>
        <v>88000</v>
      </c>
      <c r="P84" s="294"/>
      <c r="Q84" s="292" t="s">
        <v>1169</v>
      </c>
      <c r="R84" s="22"/>
      <c r="S84" s="22">
        <f t="shared" si="19"/>
        <v>88000</v>
      </c>
      <c r="T84" s="22">
        <f t="shared" si="20"/>
        <v>125714.28571428572</v>
      </c>
      <c r="U84" s="23">
        <f t="shared" si="21"/>
        <v>143673.46938775512</v>
      </c>
      <c r="V84" s="24">
        <f t="shared" si="22"/>
        <v>0.12500000000000003</v>
      </c>
      <c r="W84" s="23">
        <f t="shared" si="27"/>
        <v>143700</v>
      </c>
      <c r="X84" s="164">
        <f t="shared" si="23"/>
        <v>0.30000000000000004</v>
      </c>
      <c r="Y84" s="253">
        <v>124285.71428571429</v>
      </c>
      <c r="Z84" s="188">
        <f>T84-Y84</f>
        <v>1428.5714285714348</v>
      </c>
      <c r="AA84" s="189">
        <f>Z84/Y84</f>
        <v>1.1494252873563269E-2</v>
      </c>
      <c r="AB84" s="34"/>
      <c r="AC84" s="164"/>
      <c r="AD84" s="35"/>
      <c r="AE84" s="36"/>
      <c r="AF84" s="29"/>
      <c r="AG84" s="29"/>
      <c r="AH84" s="30"/>
      <c r="AI84" s="178" t="s">
        <v>608</v>
      </c>
      <c r="AJ84" s="29"/>
      <c r="AK84" s="29"/>
      <c r="AL84" s="30"/>
      <c r="AM84" s="55"/>
      <c r="AN84" s="29"/>
      <c r="AO84" s="29"/>
      <c r="AP84" s="30"/>
      <c r="AQ84" s="55"/>
      <c r="AR84" s="29"/>
      <c r="AS84" s="29"/>
      <c r="AT84" s="30"/>
      <c r="AU84" s="178" t="s">
        <v>608</v>
      </c>
      <c r="AV84" s="29"/>
      <c r="AW84" s="29"/>
      <c r="AX84" s="30"/>
      <c r="AY84" s="55"/>
      <c r="AZ84" s="29"/>
      <c r="BA84" s="29"/>
      <c r="BB84" s="30"/>
      <c r="BC84" s="178" t="s">
        <v>751</v>
      </c>
      <c r="BD84" s="29"/>
      <c r="BE84" s="29"/>
      <c r="BF84" s="30"/>
      <c r="BG84" s="55"/>
      <c r="BH84" s="29"/>
      <c r="BI84" s="29"/>
      <c r="BJ84" s="30"/>
      <c r="BK84" s="178"/>
      <c r="BL84" s="29"/>
      <c r="BM84" s="29"/>
      <c r="BN84" s="30"/>
      <c r="BO84" s="55"/>
      <c r="BP84" s="29"/>
      <c r="BQ84" s="29"/>
      <c r="BR84" s="30"/>
      <c r="BS84" s="55"/>
      <c r="BT84" s="29"/>
      <c r="BU84" s="29"/>
      <c r="BV84" s="30"/>
      <c r="BW84" s="55"/>
      <c r="BX84" s="29"/>
      <c r="BY84" s="29"/>
      <c r="BZ84" s="30"/>
      <c r="CA84" s="31"/>
    </row>
    <row r="85" spans="2:79" hidden="1">
      <c r="B85" s="297"/>
      <c r="C85" s="307" t="s">
        <v>944</v>
      </c>
      <c r="D85" s="299" t="str">
        <f t="shared" si="24"/>
        <v xml:space="preserve"> 562</v>
      </c>
      <c r="E85" s="308" t="s">
        <v>944</v>
      </c>
      <c r="F85" s="301">
        <f t="shared" si="25"/>
        <v>0</v>
      </c>
      <c r="G85" s="302" t="s">
        <v>1063</v>
      </c>
      <c r="H85" s="302" t="s">
        <v>1078</v>
      </c>
      <c r="I85" s="302" t="s">
        <v>1109</v>
      </c>
      <c r="J85" s="303">
        <v>83000</v>
      </c>
      <c r="K85" s="312">
        <f t="shared" si="18"/>
        <v>6150</v>
      </c>
      <c r="L85" s="301" t="s">
        <v>69</v>
      </c>
      <c r="M85" s="305">
        <f t="shared" si="15"/>
        <v>76850</v>
      </c>
      <c r="N85" s="316">
        <v>6150</v>
      </c>
      <c r="O85" s="306">
        <f t="shared" si="26"/>
        <v>83000</v>
      </c>
      <c r="P85" s="294"/>
      <c r="Q85" s="292" t="s">
        <v>1169</v>
      </c>
      <c r="R85" s="22"/>
      <c r="S85" s="22">
        <f t="shared" si="19"/>
        <v>83000</v>
      </c>
      <c r="T85" s="22">
        <f t="shared" si="20"/>
        <v>118571.42857142858</v>
      </c>
      <c r="U85" s="23">
        <f t="shared" si="21"/>
        <v>135510.20408163266</v>
      </c>
      <c r="V85" s="24">
        <f t="shared" si="22"/>
        <v>0.125</v>
      </c>
      <c r="W85" s="23">
        <f t="shared" si="27"/>
        <v>135600</v>
      </c>
      <c r="X85" s="164">
        <f t="shared" si="23"/>
        <v>0.30000000000000004</v>
      </c>
      <c r="Y85" s="188">
        <v>117142.85714285714</v>
      </c>
      <c r="Z85" s="188">
        <f>T85-Y85</f>
        <v>1428.5714285714348</v>
      </c>
      <c r="AA85" s="189">
        <f>Z85/Y85</f>
        <v>1.2195121951219565E-2</v>
      </c>
      <c r="AB85" s="34"/>
      <c r="AC85" s="164"/>
      <c r="AD85" s="35"/>
      <c r="AE85" s="36"/>
      <c r="AF85" s="29"/>
      <c r="AG85" s="29"/>
      <c r="AH85" s="30"/>
      <c r="AI85" s="55"/>
      <c r="AJ85" s="29"/>
      <c r="AK85" s="29"/>
      <c r="AL85" s="30"/>
      <c r="AM85" s="55"/>
      <c r="AN85" s="29"/>
      <c r="AO85" s="29"/>
      <c r="AP85" s="30"/>
      <c r="AQ85" s="55"/>
      <c r="AR85" s="29"/>
      <c r="AS85" s="29"/>
      <c r="AT85" s="30"/>
      <c r="AU85" s="55"/>
      <c r="AV85" s="29"/>
      <c r="AW85" s="29"/>
      <c r="AX85" s="30"/>
      <c r="AY85" s="55"/>
      <c r="AZ85" s="29"/>
      <c r="BA85" s="29"/>
      <c r="BB85" s="30"/>
      <c r="BC85" s="55"/>
      <c r="BD85" s="29"/>
      <c r="BE85" s="29"/>
      <c r="BF85" s="30"/>
      <c r="BG85" s="55"/>
      <c r="BH85" s="29"/>
      <c r="BI85" s="29"/>
      <c r="BJ85" s="30"/>
      <c r="BK85" s="55"/>
      <c r="BL85" s="29"/>
      <c r="BM85" s="29"/>
      <c r="BN85" s="30"/>
      <c r="BO85" s="55"/>
      <c r="BP85" s="29"/>
      <c r="BQ85" s="29"/>
      <c r="BR85" s="30"/>
      <c r="BS85" s="55"/>
      <c r="BT85" s="29"/>
      <c r="BU85" s="29"/>
      <c r="BV85" s="30"/>
      <c r="BW85" s="55"/>
      <c r="BX85" s="29"/>
      <c r="BY85" s="29"/>
      <c r="BZ85" s="30"/>
      <c r="CA85" s="31"/>
    </row>
    <row r="86" spans="2:79" hidden="1">
      <c r="B86" s="297"/>
      <c r="C86" s="307" t="s">
        <v>125</v>
      </c>
      <c r="D86" s="299" t="str">
        <f t="shared" si="24"/>
        <v xml:space="preserve"> 432</v>
      </c>
      <c r="E86" s="308" t="s">
        <v>125</v>
      </c>
      <c r="F86" s="301">
        <f t="shared" si="25"/>
        <v>0</v>
      </c>
      <c r="G86" s="302" t="s">
        <v>35</v>
      </c>
      <c r="H86" s="302" t="s">
        <v>1079</v>
      </c>
      <c r="I86" s="302" t="s">
        <v>1109</v>
      </c>
      <c r="J86" s="303">
        <v>82500</v>
      </c>
      <c r="K86" s="312">
        <f t="shared" si="18"/>
        <v>6150</v>
      </c>
      <c r="L86" s="301" t="s">
        <v>69</v>
      </c>
      <c r="M86" s="305">
        <f t="shared" si="15"/>
        <v>76350</v>
      </c>
      <c r="N86" s="316">
        <v>6150</v>
      </c>
      <c r="O86" s="306">
        <f t="shared" si="26"/>
        <v>82500</v>
      </c>
      <c r="P86" s="294"/>
      <c r="Q86" s="292" t="s">
        <v>1169</v>
      </c>
      <c r="R86" s="22"/>
      <c r="S86" s="22">
        <f t="shared" si="19"/>
        <v>82500</v>
      </c>
      <c r="T86" s="22">
        <f t="shared" si="20"/>
        <v>117857.14285714287</v>
      </c>
      <c r="U86" s="23">
        <f t="shared" si="21"/>
        <v>134693.87755102041</v>
      </c>
      <c r="V86" s="24">
        <f t="shared" si="22"/>
        <v>0.12499999999999994</v>
      </c>
      <c r="W86" s="23">
        <f t="shared" si="27"/>
        <v>134700</v>
      </c>
      <c r="X86" s="164">
        <f t="shared" si="23"/>
        <v>0.3000000000000001</v>
      </c>
      <c r="Y86" s="25"/>
      <c r="Z86" s="25"/>
      <c r="AA86" s="25"/>
      <c r="AB86" s="34"/>
      <c r="AC86" s="164"/>
      <c r="AD86" s="35"/>
      <c r="AE86" s="36"/>
      <c r="AF86" s="29"/>
      <c r="AG86" s="29"/>
      <c r="AH86" s="30"/>
      <c r="AI86" s="178" t="s">
        <v>608</v>
      </c>
      <c r="AJ86" s="29"/>
      <c r="AK86" s="29"/>
      <c r="AL86" s="30"/>
      <c r="AM86" s="55"/>
      <c r="AN86" s="29"/>
      <c r="AO86" s="29"/>
      <c r="AP86" s="30"/>
      <c r="AQ86" s="55"/>
      <c r="AR86" s="29"/>
      <c r="AS86" s="29"/>
      <c r="AT86" s="30"/>
      <c r="AU86" s="178" t="s">
        <v>608</v>
      </c>
      <c r="AV86" s="29"/>
      <c r="AW86" s="29"/>
      <c r="AX86" s="30"/>
      <c r="AY86" s="55"/>
      <c r="AZ86" s="29"/>
      <c r="BA86" s="29"/>
      <c r="BB86" s="30"/>
      <c r="BC86" s="178" t="s">
        <v>751</v>
      </c>
      <c r="BD86" s="29"/>
      <c r="BE86" s="29"/>
      <c r="BF86" s="30"/>
      <c r="BG86" s="55"/>
      <c r="BH86" s="29"/>
      <c r="BI86" s="29"/>
      <c r="BJ86" s="30"/>
      <c r="BK86" s="178"/>
      <c r="BL86" s="29"/>
      <c r="BM86" s="29"/>
      <c r="BN86" s="30"/>
      <c r="BO86" s="55"/>
      <c r="BP86" s="29"/>
      <c r="BQ86" s="29"/>
      <c r="BR86" s="30"/>
      <c r="BS86" s="55"/>
      <c r="BT86" s="29"/>
      <c r="BU86" s="29"/>
      <c r="BV86" s="30"/>
      <c r="BW86" s="55"/>
      <c r="BX86" s="29"/>
      <c r="BY86" s="29"/>
      <c r="BZ86" s="30"/>
      <c r="CA86" s="31"/>
    </row>
    <row r="87" spans="2:79" hidden="1">
      <c r="B87" s="297"/>
      <c r="C87" s="307" t="s">
        <v>634</v>
      </c>
      <c r="D87" s="299" t="str">
        <f t="shared" si="24"/>
        <v xml:space="preserve"> 636</v>
      </c>
      <c r="E87" s="308" t="s">
        <v>634</v>
      </c>
      <c r="F87" s="301">
        <f t="shared" si="25"/>
        <v>0</v>
      </c>
      <c r="G87" s="302" t="s">
        <v>35</v>
      </c>
      <c r="H87" s="302" t="s">
        <v>1079</v>
      </c>
      <c r="I87" s="302" t="s">
        <v>1109</v>
      </c>
      <c r="J87" s="303">
        <v>82500</v>
      </c>
      <c r="K87" s="312">
        <f t="shared" si="18"/>
        <v>6150</v>
      </c>
      <c r="L87" s="301" t="s">
        <v>69</v>
      </c>
      <c r="M87" s="305">
        <f t="shared" si="15"/>
        <v>76350</v>
      </c>
      <c r="N87" s="316">
        <v>6150</v>
      </c>
      <c r="O87" s="306">
        <f t="shared" si="26"/>
        <v>82500</v>
      </c>
      <c r="P87" s="294"/>
      <c r="Q87" s="292" t="s">
        <v>1169</v>
      </c>
      <c r="R87" s="22"/>
      <c r="S87" s="22">
        <f t="shared" si="19"/>
        <v>82500</v>
      </c>
      <c r="T87" s="22">
        <f t="shared" si="20"/>
        <v>117857.14285714287</v>
      </c>
      <c r="U87" s="23">
        <f t="shared" si="21"/>
        <v>134693.87755102041</v>
      </c>
      <c r="V87" s="24">
        <f t="shared" si="22"/>
        <v>0.12499999999999994</v>
      </c>
      <c r="W87" s="23">
        <f t="shared" si="27"/>
        <v>134700</v>
      </c>
      <c r="X87" s="164">
        <f t="shared" si="23"/>
        <v>0.3000000000000001</v>
      </c>
      <c r="Y87" s="25"/>
      <c r="Z87" s="25"/>
      <c r="AA87" s="25"/>
      <c r="AB87" s="34"/>
      <c r="AC87" s="164"/>
      <c r="AD87" s="42"/>
      <c r="AE87" s="43"/>
      <c r="AF87" s="50"/>
      <c r="AG87" s="50"/>
      <c r="AH87" s="50"/>
      <c r="AI87" s="56"/>
      <c r="AJ87" s="50"/>
      <c r="AK87" s="50"/>
      <c r="AL87" s="50"/>
      <c r="AM87" s="55"/>
      <c r="AN87" s="50"/>
      <c r="AO87" s="50"/>
      <c r="AP87" s="50"/>
      <c r="AQ87" s="56"/>
      <c r="AR87" s="50"/>
      <c r="AS87" s="50"/>
      <c r="AT87" s="50"/>
      <c r="AU87" s="56"/>
      <c r="AV87" s="50"/>
      <c r="AW87" s="50"/>
      <c r="AX87" s="50"/>
      <c r="AY87" s="56"/>
      <c r="AZ87" s="50"/>
      <c r="BA87" s="50"/>
      <c r="BB87" s="50"/>
      <c r="BC87" s="56"/>
      <c r="BD87" s="50"/>
      <c r="BE87" s="50"/>
      <c r="BF87" s="50"/>
      <c r="BG87" s="56"/>
      <c r="BH87" s="50"/>
      <c r="BI87" s="50"/>
      <c r="BJ87" s="50"/>
      <c r="BK87" s="56"/>
      <c r="BL87" s="50"/>
      <c r="BM87" s="50"/>
      <c r="BN87" s="50"/>
      <c r="BO87" s="56"/>
      <c r="BP87" s="50"/>
      <c r="BQ87" s="50"/>
      <c r="BR87" s="50"/>
      <c r="BS87" s="55"/>
      <c r="BT87" s="50"/>
      <c r="BU87" s="50"/>
      <c r="BV87" s="50"/>
      <c r="BW87" s="56"/>
      <c r="BX87" s="50"/>
      <c r="BY87" s="50"/>
      <c r="BZ87" s="50"/>
      <c r="CA87" s="50"/>
    </row>
    <row r="88" spans="2:79" hidden="1">
      <c r="B88" s="297"/>
      <c r="C88" s="307" t="s">
        <v>124</v>
      </c>
      <c r="D88" s="299" t="str">
        <f t="shared" si="24"/>
        <v xml:space="preserve"> 368</v>
      </c>
      <c r="E88" s="308" t="s">
        <v>124</v>
      </c>
      <c r="F88" s="301">
        <f t="shared" si="25"/>
        <v>0</v>
      </c>
      <c r="G88" s="302" t="s">
        <v>35</v>
      </c>
      <c r="H88" s="302" t="s">
        <v>1078</v>
      </c>
      <c r="I88" s="302" t="s">
        <v>1109</v>
      </c>
      <c r="J88" s="303">
        <v>87500</v>
      </c>
      <c r="K88" s="312">
        <f t="shared" si="18"/>
        <v>6150</v>
      </c>
      <c r="L88" s="301" t="s">
        <v>69</v>
      </c>
      <c r="M88" s="305">
        <f t="shared" si="15"/>
        <v>81350</v>
      </c>
      <c r="N88" s="316">
        <v>6150</v>
      </c>
      <c r="O88" s="306">
        <f t="shared" si="26"/>
        <v>87500</v>
      </c>
      <c r="P88" s="294"/>
      <c r="Q88" s="292" t="s">
        <v>1169</v>
      </c>
      <c r="R88" s="22"/>
      <c r="S88" s="22">
        <f t="shared" si="19"/>
        <v>87500</v>
      </c>
      <c r="T88" s="22">
        <f t="shared" si="20"/>
        <v>125000.00000000001</v>
      </c>
      <c r="U88" s="23">
        <f t="shared" si="21"/>
        <v>142857.14285714287</v>
      </c>
      <c r="V88" s="24">
        <f t="shared" si="22"/>
        <v>0.12499999999999997</v>
      </c>
      <c r="W88" s="23">
        <f t="shared" si="27"/>
        <v>142900</v>
      </c>
      <c r="X88" s="164">
        <f t="shared" si="23"/>
        <v>0.3000000000000001</v>
      </c>
      <c r="Y88" s="25"/>
      <c r="Z88" s="25"/>
      <c r="AA88" s="25"/>
      <c r="AB88" s="34"/>
      <c r="AC88" s="164"/>
      <c r="AD88" s="35"/>
      <c r="AE88" s="36"/>
      <c r="AF88" s="50"/>
      <c r="AG88" s="50"/>
      <c r="AH88" s="50"/>
      <c r="AI88" s="178" t="s">
        <v>608</v>
      </c>
      <c r="AJ88" s="50"/>
      <c r="AK88" s="50"/>
      <c r="AL88" s="50"/>
      <c r="AM88" s="55"/>
      <c r="AN88" s="50"/>
      <c r="AO88" s="50"/>
      <c r="AP88" s="50"/>
      <c r="AQ88" s="56"/>
      <c r="AR88" s="50"/>
      <c r="AS88" s="50"/>
      <c r="AT88" s="50"/>
      <c r="AU88" s="178" t="s">
        <v>608</v>
      </c>
      <c r="AV88" s="50"/>
      <c r="AW88" s="50"/>
      <c r="AX88" s="50"/>
      <c r="AY88" s="56"/>
      <c r="AZ88" s="50"/>
      <c r="BA88" s="50"/>
      <c r="BB88" s="50"/>
      <c r="BC88" s="178" t="s">
        <v>751</v>
      </c>
      <c r="BD88" s="50"/>
      <c r="BE88" s="50"/>
      <c r="BF88" s="50"/>
      <c r="BG88" s="56"/>
      <c r="BH88" s="50"/>
      <c r="BI88" s="50"/>
      <c r="BJ88" s="50"/>
      <c r="BK88" s="178"/>
      <c r="BL88" s="50"/>
      <c r="BM88" s="50"/>
      <c r="BN88" s="50"/>
      <c r="BO88" s="56"/>
      <c r="BP88" s="50"/>
      <c r="BQ88" s="50"/>
      <c r="BR88" s="50"/>
      <c r="BS88" s="55"/>
      <c r="BT88" s="50"/>
      <c r="BU88" s="50"/>
      <c r="BV88" s="50"/>
      <c r="BW88" s="56"/>
      <c r="BX88" s="50"/>
      <c r="BY88" s="50"/>
      <c r="BZ88" s="50"/>
      <c r="CA88" s="50"/>
    </row>
    <row r="89" spans="2:79" hidden="1">
      <c r="B89" s="297"/>
      <c r="C89" s="307" t="s">
        <v>633</v>
      </c>
      <c r="D89" s="299" t="str">
        <f t="shared" si="24"/>
        <v xml:space="preserve"> 876</v>
      </c>
      <c r="E89" s="308" t="s">
        <v>633</v>
      </c>
      <c r="F89" s="301">
        <f t="shared" si="25"/>
        <v>0</v>
      </c>
      <c r="G89" s="302" t="s">
        <v>35</v>
      </c>
      <c r="H89" s="302" t="s">
        <v>1078</v>
      </c>
      <c r="I89" s="302" t="s">
        <v>1109</v>
      </c>
      <c r="J89" s="303">
        <v>87500</v>
      </c>
      <c r="K89" s="312">
        <f t="shared" si="18"/>
        <v>6150</v>
      </c>
      <c r="L89" s="301" t="s">
        <v>69</v>
      </c>
      <c r="M89" s="305">
        <f t="shared" si="15"/>
        <v>81350</v>
      </c>
      <c r="N89" s="316">
        <v>6150</v>
      </c>
      <c r="O89" s="306">
        <f t="shared" si="26"/>
        <v>87500</v>
      </c>
      <c r="P89" s="294"/>
      <c r="Q89" s="292" t="s">
        <v>1169</v>
      </c>
      <c r="R89" s="22"/>
      <c r="S89" s="22">
        <f t="shared" si="19"/>
        <v>87500</v>
      </c>
      <c r="T89" s="22">
        <f t="shared" si="20"/>
        <v>125000.00000000001</v>
      </c>
      <c r="U89" s="23">
        <f t="shared" si="21"/>
        <v>142857.14285714287</v>
      </c>
      <c r="V89" s="24">
        <f t="shared" si="22"/>
        <v>0.12499999999999997</v>
      </c>
      <c r="W89" s="23">
        <f t="shared" si="27"/>
        <v>142900</v>
      </c>
      <c r="X89" s="164">
        <f t="shared" si="23"/>
        <v>0.3000000000000001</v>
      </c>
      <c r="Y89" s="25"/>
      <c r="Z89" s="25"/>
      <c r="AA89" s="25"/>
      <c r="AB89" s="34"/>
      <c r="AC89" s="164"/>
      <c r="AD89" s="35"/>
      <c r="AE89" s="36"/>
      <c r="AF89" s="50"/>
      <c r="AG89" s="50"/>
      <c r="AH89" s="50"/>
      <c r="AI89" s="56"/>
      <c r="AJ89" s="50"/>
      <c r="AK89" s="50"/>
      <c r="AL89" s="50"/>
      <c r="AM89" s="55"/>
      <c r="AN89" s="50"/>
      <c r="AO89" s="50"/>
      <c r="AP89" s="50"/>
      <c r="AQ89" s="56"/>
      <c r="AR89" s="50"/>
      <c r="AS89" s="50"/>
      <c r="AT89" s="50"/>
      <c r="AU89" s="56"/>
      <c r="AV89" s="50"/>
      <c r="AW89" s="50"/>
      <c r="AX89" s="50"/>
      <c r="AY89" s="56"/>
      <c r="AZ89" s="50"/>
      <c r="BA89" s="50"/>
      <c r="BB89" s="50"/>
      <c r="BC89" s="56"/>
      <c r="BD89" s="50"/>
      <c r="BE89" s="50"/>
      <c r="BF89" s="50"/>
      <c r="BG89" s="56"/>
      <c r="BH89" s="50"/>
      <c r="BI89" s="50"/>
      <c r="BJ89" s="50"/>
      <c r="BK89" s="56"/>
      <c r="BL89" s="50"/>
      <c r="BM89" s="50"/>
      <c r="BN89" s="50"/>
      <c r="BO89" s="56"/>
      <c r="BP89" s="50"/>
      <c r="BQ89" s="50"/>
      <c r="BR89" s="50"/>
      <c r="BS89" s="55"/>
      <c r="BT89" s="50"/>
      <c r="BU89" s="50"/>
      <c r="BV89" s="50"/>
      <c r="BW89" s="56"/>
      <c r="BX89" s="50"/>
      <c r="BY89" s="50"/>
      <c r="BZ89" s="50"/>
      <c r="CA89" s="50"/>
    </row>
    <row r="90" spans="2:79" hidden="1">
      <c r="B90" s="297"/>
      <c r="C90" s="307" t="s">
        <v>945</v>
      </c>
      <c r="D90" s="299" t="str">
        <f t="shared" si="24"/>
        <v xml:space="preserve"> 333</v>
      </c>
      <c r="E90" s="308" t="s">
        <v>945</v>
      </c>
      <c r="F90" s="301">
        <f t="shared" si="25"/>
        <v>0</v>
      </c>
      <c r="G90" s="302" t="s">
        <v>1063</v>
      </c>
      <c r="H90" s="302" t="s">
        <v>1078</v>
      </c>
      <c r="I90" s="302" t="s">
        <v>1109</v>
      </c>
      <c r="J90" s="303">
        <v>68000</v>
      </c>
      <c r="K90" s="312">
        <f t="shared" si="18"/>
        <v>3900</v>
      </c>
      <c r="L90" s="301" t="s">
        <v>69</v>
      </c>
      <c r="M90" s="305">
        <f t="shared" si="15"/>
        <v>64100</v>
      </c>
      <c r="N90" s="316">
        <v>3900</v>
      </c>
      <c r="O90" s="306">
        <f t="shared" si="26"/>
        <v>68000</v>
      </c>
      <c r="P90" s="294"/>
      <c r="Q90" s="292" t="s">
        <v>1170</v>
      </c>
      <c r="R90" s="22"/>
      <c r="S90" s="22">
        <f t="shared" si="19"/>
        <v>68000</v>
      </c>
      <c r="T90" s="22">
        <f t="shared" si="20"/>
        <v>97142.857142857145</v>
      </c>
      <c r="U90" s="23">
        <f t="shared" si="21"/>
        <v>111020.40816326531</v>
      </c>
      <c r="V90" s="24">
        <f t="shared" si="22"/>
        <v>0.12500000000000003</v>
      </c>
      <c r="W90" s="23">
        <f t="shared" si="27"/>
        <v>111100</v>
      </c>
      <c r="X90" s="164">
        <f t="shared" si="23"/>
        <v>0.3</v>
      </c>
      <c r="Y90" s="25"/>
      <c r="Z90" s="25"/>
      <c r="AA90" s="25"/>
      <c r="AB90" s="34" t="s">
        <v>123</v>
      </c>
      <c r="AC90" s="286">
        <f>AVERAGE(X90,X88,X86,X84,X82,X80)</f>
        <v>0.30000000000000004</v>
      </c>
      <c r="AD90" s="208">
        <f>AVERAGE(T90,T88,T86,T84,T82,T80)</f>
        <v>110476.19047619049</v>
      </c>
      <c r="AE90" s="36"/>
      <c r="AF90" s="186">
        <v>118928.57142857143</v>
      </c>
      <c r="AG90" s="181">
        <v>121071</v>
      </c>
      <c r="AH90" s="50"/>
      <c r="AI90" s="251">
        <v>120715</v>
      </c>
      <c r="AJ90" s="181">
        <f>75887/0.7</f>
        <v>108410</v>
      </c>
      <c r="AK90" s="181">
        <v>114699</v>
      </c>
      <c r="AL90" s="50"/>
      <c r="AM90" s="55"/>
      <c r="AN90" s="50"/>
      <c r="AO90" s="50"/>
      <c r="AP90" s="50"/>
      <c r="AQ90" s="56"/>
      <c r="AR90" s="50"/>
      <c r="AS90" s="50"/>
      <c r="AT90" s="50"/>
      <c r="AU90" s="251">
        <v>125850</v>
      </c>
      <c r="AV90" s="181">
        <f>98837/0.7</f>
        <v>141195.71428571429</v>
      </c>
      <c r="AW90" s="50"/>
      <c r="AX90" s="50"/>
      <c r="AY90" s="56"/>
      <c r="AZ90" s="50"/>
      <c r="BA90" s="50"/>
      <c r="BB90" s="50"/>
      <c r="BC90" s="252">
        <v>99225</v>
      </c>
      <c r="BD90" s="181">
        <v>174960</v>
      </c>
      <c r="BE90" s="181">
        <v>109331</v>
      </c>
      <c r="BF90" s="50"/>
      <c r="BG90" s="56"/>
      <c r="BH90" s="50"/>
      <c r="BI90" s="50"/>
      <c r="BJ90" s="50"/>
      <c r="BK90" s="251">
        <v>187999</v>
      </c>
      <c r="BL90" s="181">
        <f>112000/0.7</f>
        <v>160000</v>
      </c>
      <c r="BM90" s="181">
        <v>114667</v>
      </c>
      <c r="BN90" s="50"/>
      <c r="BO90" s="56"/>
      <c r="BP90" s="181">
        <f>90567/0.7</f>
        <v>129381.42857142858</v>
      </c>
      <c r="BQ90" s="181">
        <v>126060</v>
      </c>
      <c r="BR90" s="50"/>
      <c r="BS90" s="55"/>
      <c r="BT90" s="50"/>
      <c r="BU90" s="50"/>
      <c r="BV90" s="50"/>
      <c r="BW90" s="56"/>
      <c r="BX90" s="50"/>
      <c r="BY90" s="50"/>
      <c r="BZ90" s="50"/>
      <c r="CA90" s="50"/>
    </row>
    <row r="91" spans="2:79" hidden="1">
      <c r="B91" s="297"/>
      <c r="C91" s="307" t="s">
        <v>946</v>
      </c>
      <c r="D91" s="299" t="str">
        <f t="shared" si="24"/>
        <v xml:space="preserve"> 435</v>
      </c>
      <c r="E91" s="308" t="s">
        <v>946</v>
      </c>
      <c r="F91" s="301">
        <f t="shared" si="25"/>
        <v>0</v>
      </c>
      <c r="G91" s="302" t="s">
        <v>1063</v>
      </c>
      <c r="H91" s="302" t="s">
        <v>1078</v>
      </c>
      <c r="I91" s="302" t="s">
        <v>1109</v>
      </c>
      <c r="J91" s="303">
        <v>68000</v>
      </c>
      <c r="K91" s="312">
        <f t="shared" si="18"/>
        <v>3900</v>
      </c>
      <c r="L91" s="301" t="s">
        <v>69</v>
      </c>
      <c r="M91" s="305">
        <f t="shared" si="15"/>
        <v>64100</v>
      </c>
      <c r="N91" s="316">
        <v>3900</v>
      </c>
      <c r="O91" s="306">
        <f t="shared" si="26"/>
        <v>68000</v>
      </c>
      <c r="P91" s="294"/>
      <c r="Q91" s="292" t="s">
        <v>1170</v>
      </c>
      <c r="R91" s="22"/>
      <c r="S91" s="22">
        <f t="shared" si="19"/>
        <v>68000</v>
      </c>
      <c r="T91" s="22">
        <f t="shared" si="20"/>
        <v>97142.857142857145</v>
      </c>
      <c r="U91" s="23">
        <f t="shared" si="21"/>
        <v>111020.40816326531</v>
      </c>
      <c r="V91" s="24">
        <f t="shared" si="22"/>
        <v>0.12500000000000003</v>
      </c>
      <c r="W91" s="23">
        <f t="shared" si="27"/>
        <v>111100</v>
      </c>
      <c r="X91" s="164">
        <f t="shared" si="23"/>
        <v>0.3</v>
      </c>
      <c r="Y91" s="25"/>
      <c r="Z91" s="25"/>
      <c r="AA91" s="25"/>
      <c r="AB91" s="34" t="s">
        <v>95</v>
      </c>
      <c r="AC91" s="26">
        <f>AVERAGE(X91,X89,X87,X85,X83,X81)</f>
        <v>0.30000000000000004</v>
      </c>
      <c r="AD91" s="42">
        <f>AVERAGE(T91,T89,T87,T85,T83,T81)</f>
        <v>108095.23809523811</v>
      </c>
      <c r="AE91" s="28">
        <f>AVERAGE(AI91,AM91,AQ91,AU91,BC91,BK91,BO91,BS91,BW91)</f>
        <v>167781.5</v>
      </c>
      <c r="AF91" s="40">
        <v>115952.38095238095</v>
      </c>
      <c r="AG91" s="40"/>
      <c r="AH91" s="51">
        <f>(AD91-AF91)/AF91</f>
        <v>-6.7761806981519374E-2</v>
      </c>
      <c r="AI91" s="44">
        <v>162246</v>
      </c>
      <c r="AJ91" s="187">
        <v>111338</v>
      </c>
      <c r="AK91" s="29"/>
      <c r="AL91" s="21">
        <f>(AI91-AJ91)/AJ91</f>
        <v>0.45723831935188347</v>
      </c>
      <c r="AM91" s="29"/>
      <c r="AN91" s="29"/>
      <c r="AO91" s="29"/>
      <c r="AP91" s="30"/>
      <c r="AQ91" s="55"/>
      <c r="AR91" s="29"/>
      <c r="AS91" s="29"/>
      <c r="AT91" s="30"/>
      <c r="AU91" s="44">
        <v>152550</v>
      </c>
      <c r="AV91" s="180">
        <v>116433</v>
      </c>
      <c r="AW91" s="29"/>
      <c r="AX91" s="21">
        <f>(AU91-AV91)/AV91</f>
        <v>0.31019556311355029</v>
      </c>
      <c r="AY91" s="55"/>
      <c r="AZ91" s="29"/>
      <c r="BA91" s="29"/>
      <c r="BB91" s="30"/>
      <c r="BC91" s="44">
        <v>128851</v>
      </c>
      <c r="BD91" s="180">
        <v>113940</v>
      </c>
      <c r="BE91" s="40"/>
      <c r="BF91" s="21">
        <f>(BC91-BD91)/BD91</f>
        <v>0.13086712304721784</v>
      </c>
      <c r="BG91" s="57"/>
      <c r="BH91" s="29"/>
      <c r="BI91" s="29"/>
      <c r="BJ91" s="30"/>
      <c r="BK91" s="44">
        <v>227479</v>
      </c>
      <c r="BL91" s="180">
        <f>112000/0.7</f>
        <v>160000</v>
      </c>
      <c r="BM91" s="50"/>
      <c r="BN91" s="21">
        <f>(BK91-BL91)/BL91</f>
        <v>0.42174374999999997</v>
      </c>
      <c r="BO91" s="56"/>
      <c r="BP91" s="180">
        <v>121990</v>
      </c>
      <c r="BQ91" s="50"/>
      <c r="BR91" s="21" t="e">
        <f>(BP91-BQ91)/BQ91</f>
        <v>#DIV/0!</v>
      </c>
      <c r="BS91" s="55"/>
      <c r="BT91" s="29"/>
      <c r="BU91" s="29"/>
      <c r="BV91" s="30"/>
      <c r="BW91" s="55"/>
      <c r="BX91" s="29"/>
      <c r="BY91" s="29"/>
      <c r="BZ91" s="30"/>
      <c r="CA91" s="31"/>
    </row>
    <row r="92" spans="2:79" hidden="1">
      <c r="B92" s="297"/>
      <c r="C92" s="307" t="s">
        <v>947</v>
      </c>
      <c r="D92" s="299" t="str">
        <f>REPLACE(C92,1,3, )</f>
        <v xml:space="preserve"> 720</v>
      </c>
      <c r="E92" s="308" t="s">
        <v>947</v>
      </c>
      <c r="F92" s="301">
        <f>IF(C92=E92,0,1)</f>
        <v>0</v>
      </c>
      <c r="G92" s="302" t="s">
        <v>1063</v>
      </c>
      <c r="H92" s="302" t="s">
        <v>1080</v>
      </c>
      <c r="I92" s="302" t="s">
        <v>1110</v>
      </c>
      <c r="J92" s="303">
        <v>132500</v>
      </c>
      <c r="K92" s="312">
        <f>J92-M92</f>
        <v>6250</v>
      </c>
      <c r="L92" s="301" t="s">
        <v>69</v>
      </c>
      <c r="M92" s="305">
        <f t="shared" si="15"/>
        <v>126250</v>
      </c>
      <c r="N92" s="316">
        <v>6250</v>
      </c>
      <c r="O92" s="306">
        <f>M92+N92</f>
        <v>132500</v>
      </c>
      <c r="P92" s="294"/>
      <c r="Q92" s="292" t="s">
        <v>1171</v>
      </c>
      <c r="R92" s="22"/>
      <c r="S92" s="22">
        <f>R92+O92</f>
        <v>132500</v>
      </c>
      <c r="T92" s="22">
        <f>S92/0.7</f>
        <v>189285.71428571429</v>
      </c>
      <c r="U92" s="23">
        <f>T92/0.875</f>
        <v>216326.53061224491</v>
      </c>
      <c r="V92" s="24">
        <f>(U92-T92)/U92</f>
        <v>0.12500000000000003</v>
      </c>
      <c r="W92" s="23">
        <f>(ROUNDUP((U92/100),0))*100</f>
        <v>216400</v>
      </c>
      <c r="X92" s="164">
        <f>(T92-O92)/T92</f>
        <v>0.3</v>
      </c>
      <c r="Y92" s="25"/>
      <c r="Z92" s="25"/>
      <c r="AA92" s="25"/>
      <c r="AB92" s="34"/>
      <c r="AC92" s="26">
        <f>AVERAGE(X92,X97,X96,X93,X95,X94)</f>
        <v>0.30000000000000004</v>
      </c>
      <c r="AD92" s="42">
        <f>AVERAGE(T94,T95,T93,T96,T97,T92)</f>
        <v>125119.04761904762</v>
      </c>
      <c r="AE92" s="28">
        <f>AVERAGE(AI92,AM92,AQ92,AU92,BC92,BK92,BO92,BS92,BW92)</f>
        <v>60391</v>
      </c>
      <c r="AF92" s="180">
        <v>76333.333333333328</v>
      </c>
      <c r="AG92" s="181">
        <v>76048</v>
      </c>
      <c r="AH92" s="21">
        <f>(AD92-AF92)/AF92</f>
        <v>0.63911416094822215</v>
      </c>
      <c r="AI92" s="59">
        <v>56163</v>
      </c>
      <c r="AJ92" s="180">
        <f>39067/0.7</f>
        <v>55810</v>
      </c>
      <c r="AK92" s="180">
        <v>68705</v>
      </c>
      <c r="AL92" s="21">
        <f>(AI92-AJ92)/AJ92</f>
        <v>6.325031356387744E-3</v>
      </c>
      <c r="AM92" s="55"/>
      <c r="AN92" s="29"/>
      <c r="AO92" s="29"/>
      <c r="AP92" s="30"/>
      <c r="AQ92" s="55"/>
      <c r="AR92" s="29"/>
      <c r="AS92" s="29"/>
      <c r="AT92" s="30"/>
      <c r="AU92" s="59">
        <v>70200</v>
      </c>
      <c r="AV92" s="180">
        <f>52519/0.7</f>
        <v>75027.142857142855</v>
      </c>
      <c r="AW92" s="180">
        <v>81450</v>
      </c>
      <c r="AX92" s="21">
        <f>(AU92-AV92)/AV92</f>
        <v>-6.4338620308840577E-2</v>
      </c>
      <c r="AY92" s="57"/>
      <c r="AZ92" s="29"/>
      <c r="BA92" s="29"/>
      <c r="BB92" s="30"/>
      <c r="BC92" s="59">
        <v>54810</v>
      </c>
      <c r="BD92" s="29"/>
      <c r="BE92" s="29"/>
      <c r="BF92" s="30"/>
      <c r="BG92" s="55"/>
      <c r="BH92" s="29"/>
      <c r="BI92" s="29"/>
      <c r="BJ92" s="30"/>
      <c r="BK92" s="55"/>
      <c r="BL92" s="29"/>
      <c r="BM92" s="29"/>
      <c r="BN92" s="30"/>
      <c r="BO92" s="55"/>
      <c r="BP92" s="180">
        <f>65256/0.7</f>
        <v>93222.857142857145</v>
      </c>
      <c r="BQ92" s="29"/>
      <c r="BR92" s="30"/>
      <c r="BS92" s="55"/>
      <c r="BT92" s="29"/>
      <c r="BU92" s="29"/>
      <c r="BV92" s="30"/>
      <c r="BW92" s="55"/>
      <c r="BX92" s="29"/>
      <c r="BY92" s="29"/>
      <c r="BZ92" s="30"/>
      <c r="CA92" s="31"/>
    </row>
    <row r="93" spans="2:79" hidden="1">
      <c r="B93" s="297"/>
      <c r="C93" s="307" t="s">
        <v>948</v>
      </c>
      <c r="D93" s="299" t="str">
        <f>REPLACE(C93,1,3, )</f>
        <v xml:space="preserve"> 766</v>
      </c>
      <c r="E93" s="308" t="s">
        <v>948</v>
      </c>
      <c r="F93" s="301">
        <f>IF(C93=E93,0,1)</f>
        <v>0</v>
      </c>
      <c r="G93" s="302" t="s">
        <v>1063</v>
      </c>
      <c r="H93" s="302" t="s">
        <v>1081</v>
      </c>
      <c r="I93" s="302" t="s">
        <v>1110</v>
      </c>
      <c r="J93" s="303">
        <v>72000</v>
      </c>
      <c r="K93" s="312">
        <f>J93-M93</f>
        <v>3900</v>
      </c>
      <c r="L93" s="301" t="s">
        <v>69</v>
      </c>
      <c r="M93" s="305">
        <f t="shared" si="15"/>
        <v>68100</v>
      </c>
      <c r="N93" s="316">
        <v>3900</v>
      </c>
      <c r="O93" s="306">
        <f>M93+N93</f>
        <v>72000</v>
      </c>
      <c r="P93" s="294"/>
      <c r="Q93" s="292" t="s">
        <v>1164</v>
      </c>
      <c r="R93" s="22"/>
      <c r="S93" s="22">
        <f>R93+O93</f>
        <v>72000</v>
      </c>
      <c r="T93" s="22">
        <f>S93/0.7</f>
        <v>102857.14285714287</v>
      </c>
      <c r="U93" s="23">
        <f>T93/0.875</f>
        <v>117551.02040816328</v>
      </c>
      <c r="V93" s="24">
        <f>(U93-T93)/U93</f>
        <v>0.12500000000000003</v>
      </c>
      <c r="W93" s="23">
        <f>(ROUNDUP((U93/100),0))*100</f>
        <v>117600</v>
      </c>
      <c r="X93" s="164">
        <f>(T93-O93)/T93</f>
        <v>0.3000000000000001</v>
      </c>
      <c r="Y93" s="25"/>
      <c r="Z93" s="25"/>
      <c r="AA93" s="25"/>
      <c r="AB93" s="34"/>
      <c r="AC93" s="164"/>
      <c r="AD93" s="35"/>
      <c r="AE93" s="36"/>
      <c r="AF93" s="29"/>
      <c r="AG93" s="29"/>
      <c r="AH93" s="30"/>
      <c r="AI93" s="172" t="s">
        <v>608</v>
      </c>
      <c r="AJ93" s="29"/>
      <c r="AK93" s="29"/>
      <c r="AL93" s="30"/>
      <c r="AM93" s="55"/>
      <c r="AN93" s="29"/>
      <c r="AO93" s="29"/>
      <c r="AP93" s="30"/>
      <c r="AQ93" s="55"/>
      <c r="AR93" s="29"/>
      <c r="AS93" s="29"/>
      <c r="AT93" s="30"/>
      <c r="AU93" s="172" t="s">
        <v>608</v>
      </c>
      <c r="AV93" s="29"/>
      <c r="AW93" s="29"/>
      <c r="AX93" s="30"/>
      <c r="AY93" s="55"/>
      <c r="AZ93" s="29"/>
      <c r="BA93" s="29"/>
      <c r="BB93" s="30"/>
      <c r="BC93" s="172" t="s">
        <v>751</v>
      </c>
      <c r="BD93" s="29"/>
      <c r="BE93" s="29"/>
      <c r="BF93" s="30"/>
      <c r="BG93" s="55"/>
      <c r="BH93" s="29"/>
      <c r="BI93" s="29"/>
      <c r="BJ93" s="30"/>
      <c r="BK93" s="55"/>
      <c r="BL93" s="29"/>
      <c r="BM93" s="29"/>
      <c r="BN93" s="30"/>
      <c r="BO93" s="55"/>
      <c r="BP93" s="29"/>
      <c r="BQ93" s="29"/>
      <c r="BR93" s="30"/>
      <c r="BS93" s="55"/>
      <c r="BT93" s="29"/>
      <c r="BU93" s="29"/>
      <c r="BV93" s="30"/>
      <c r="BW93" s="55"/>
      <c r="BX93" s="29"/>
      <c r="BY93" s="29"/>
      <c r="BZ93" s="30"/>
      <c r="CA93" s="31"/>
    </row>
    <row r="94" spans="2:79" hidden="1">
      <c r="B94" s="297"/>
      <c r="C94" s="307" t="s">
        <v>621</v>
      </c>
      <c r="D94" s="299" t="str">
        <f t="shared" si="24"/>
        <v xml:space="preserve"> 716</v>
      </c>
      <c r="E94" s="308" t="s">
        <v>621</v>
      </c>
      <c r="F94" s="301">
        <f t="shared" si="25"/>
        <v>0</v>
      </c>
      <c r="G94" s="302" t="s">
        <v>35</v>
      </c>
      <c r="H94" s="302" t="s">
        <v>1080</v>
      </c>
      <c r="I94" s="302" t="s">
        <v>1110</v>
      </c>
      <c r="J94" s="303">
        <v>132500</v>
      </c>
      <c r="K94" s="312">
        <f t="shared" si="18"/>
        <v>6250</v>
      </c>
      <c r="L94" s="301" t="s">
        <v>69</v>
      </c>
      <c r="M94" s="305">
        <f t="shared" si="15"/>
        <v>126250</v>
      </c>
      <c r="N94" s="316">
        <v>6250</v>
      </c>
      <c r="O94" s="306">
        <f t="shared" si="26"/>
        <v>132500</v>
      </c>
      <c r="P94" s="294"/>
      <c r="Q94" s="292" t="s">
        <v>1171</v>
      </c>
      <c r="R94" s="22"/>
      <c r="S94" s="22">
        <f t="shared" si="19"/>
        <v>132500</v>
      </c>
      <c r="T94" s="22">
        <f t="shared" si="20"/>
        <v>189285.71428571429</v>
      </c>
      <c r="U94" s="23">
        <f t="shared" si="21"/>
        <v>216326.53061224491</v>
      </c>
      <c r="V94" s="24">
        <f t="shared" si="22"/>
        <v>0.12500000000000003</v>
      </c>
      <c r="W94" s="23">
        <f t="shared" si="27"/>
        <v>216400</v>
      </c>
      <c r="X94" s="164">
        <f t="shared" si="23"/>
        <v>0.3</v>
      </c>
      <c r="Y94" s="188">
        <v>61714.285714285717</v>
      </c>
      <c r="Z94" s="188">
        <f>T94-Y94</f>
        <v>127571.42857142858</v>
      </c>
      <c r="AA94" s="189">
        <f>Z94/Y94</f>
        <v>2.0671296296296298</v>
      </c>
      <c r="AB94" s="34"/>
      <c r="AC94" s="164"/>
      <c r="AD94" s="35"/>
      <c r="AE94" s="36"/>
      <c r="AF94" s="29"/>
      <c r="AG94" s="29"/>
      <c r="AH94" s="30"/>
      <c r="AI94" s="172" t="s">
        <v>608</v>
      </c>
      <c r="AJ94" s="29"/>
      <c r="AK94" s="29"/>
      <c r="AL94" s="30"/>
      <c r="AM94" s="55"/>
      <c r="AN94" s="29"/>
      <c r="AO94" s="29"/>
      <c r="AP94" s="30"/>
      <c r="AQ94" s="55"/>
      <c r="AR94" s="29"/>
      <c r="AS94" s="29"/>
      <c r="AT94" s="30"/>
      <c r="AU94" s="172" t="s">
        <v>608</v>
      </c>
      <c r="AV94" s="29"/>
      <c r="AW94" s="29"/>
      <c r="AX94" s="30"/>
      <c r="AY94" s="55"/>
      <c r="AZ94" s="29"/>
      <c r="BA94" s="29"/>
      <c r="BB94" s="30"/>
      <c r="BC94" s="172" t="s">
        <v>751</v>
      </c>
      <c r="BD94" s="29"/>
      <c r="BE94" s="29"/>
      <c r="BF94" s="30"/>
      <c r="BG94" s="55"/>
      <c r="BH94" s="29"/>
      <c r="BI94" s="29"/>
      <c r="BJ94" s="30"/>
      <c r="BK94" s="55"/>
      <c r="BL94" s="29"/>
      <c r="BM94" s="29"/>
      <c r="BN94" s="30"/>
      <c r="BO94" s="55"/>
      <c r="BP94" s="29"/>
      <c r="BQ94" s="29"/>
      <c r="BR94" s="30"/>
      <c r="BS94" s="55"/>
      <c r="BT94" s="29"/>
      <c r="BU94" s="29"/>
      <c r="BV94" s="30"/>
      <c r="BW94" s="55"/>
      <c r="BX94" s="29"/>
      <c r="BY94" s="29"/>
      <c r="BZ94" s="30"/>
      <c r="CA94" s="31"/>
    </row>
    <row r="95" spans="2:79" hidden="1">
      <c r="B95" s="297"/>
      <c r="C95" s="307" t="s">
        <v>949</v>
      </c>
      <c r="D95" s="299" t="str">
        <f t="shared" si="24"/>
        <v xml:space="preserve"> 336</v>
      </c>
      <c r="E95" s="308" t="s">
        <v>949</v>
      </c>
      <c r="F95" s="301">
        <f t="shared" si="25"/>
        <v>0</v>
      </c>
      <c r="G95" s="302" t="s">
        <v>1063</v>
      </c>
      <c r="H95" s="302" t="s">
        <v>1077</v>
      </c>
      <c r="I95" s="302" t="s">
        <v>1111</v>
      </c>
      <c r="J95" s="303">
        <v>72500</v>
      </c>
      <c r="K95" s="312">
        <f t="shared" si="18"/>
        <v>3900</v>
      </c>
      <c r="L95" s="301" t="s">
        <v>69</v>
      </c>
      <c r="M95" s="305">
        <f t="shared" ref="M95:M159" si="28">J95-N95</f>
        <v>68600</v>
      </c>
      <c r="N95" s="316">
        <v>3900</v>
      </c>
      <c r="O95" s="306">
        <f t="shared" si="26"/>
        <v>72500</v>
      </c>
      <c r="P95" s="294"/>
      <c r="Q95" s="292" t="s">
        <v>1170</v>
      </c>
      <c r="R95" s="22"/>
      <c r="S95" s="22">
        <f t="shared" si="19"/>
        <v>72500</v>
      </c>
      <c r="T95" s="22">
        <f t="shared" si="20"/>
        <v>103571.42857142858</v>
      </c>
      <c r="U95" s="23">
        <f t="shared" si="21"/>
        <v>118367.34693877552</v>
      </c>
      <c r="V95" s="24">
        <f t="shared" si="22"/>
        <v>0.12499999999999999</v>
      </c>
      <c r="W95" s="23">
        <f t="shared" si="27"/>
        <v>118400</v>
      </c>
      <c r="X95" s="164">
        <f t="shared" si="23"/>
        <v>0.30000000000000004</v>
      </c>
      <c r="Y95" s="188">
        <v>94571.42857142858</v>
      </c>
      <c r="Z95" s="188">
        <f>T95-Y95</f>
        <v>9000</v>
      </c>
      <c r="AA95" s="189">
        <f>Z95/Y95</f>
        <v>9.5166163141993942E-2</v>
      </c>
      <c r="AB95" s="34"/>
      <c r="AC95" s="164"/>
      <c r="AD95" s="35"/>
      <c r="AE95" s="36"/>
      <c r="AF95" s="29"/>
      <c r="AG95" s="29"/>
      <c r="AH95" s="30"/>
      <c r="AI95" s="172" t="s">
        <v>608</v>
      </c>
      <c r="AJ95" s="29"/>
      <c r="AK95" s="29"/>
      <c r="AL95" s="30"/>
      <c r="AM95" s="55"/>
      <c r="AN95" s="29"/>
      <c r="AO95" s="29"/>
      <c r="AP95" s="30"/>
      <c r="AQ95" s="55"/>
      <c r="AR95" s="29"/>
      <c r="AS95" s="29"/>
      <c r="AT95" s="30"/>
      <c r="AU95" s="172" t="s">
        <v>608</v>
      </c>
      <c r="AV95" s="29"/>
      <c r="AW95" s="29"/>
      <c r="AX95" s="30"/>
      <c r="AY95" s="55"/>
      <c r="AZ95" s="29"/>
      <c r="BA95" s="29"/>
      <c r="BB95" s="30"/>
      <c r="BC95" s="172" t="s">
        <v>751</v>
      </c>
      <c r="BD95" s="29"/>
      <c r="BE95" s="29"/>
      <c r="BF95" s="30"/>
      <c r="BG95" s="55"/>
      <c r="BH95" s="29"/>
      <c r="BI95" s="29"/>
      <c r="BJ95" s="30"/>
      <c r="BK95" s="55"/>
      <c r="BL95" s="29"/>
      <c r="BM95" s="29"/>
      <c r="BN95" s="30"/>
      <c r="BO95" s="55"/>
      <c r="BP95" s="29"/>
      <c r="BQ95" s="29"/>
      <c r="BR95" s="30"/>
      <c r="BS95" s="55"/>
      <c r="BT95" s="29"/>
      <c r="BU95" s="29"/>
      <c r="BV95" s="30"/>
      <c r="BW95" s="55"/>
      <c r="BX95" s="29"/>
      <c r="BY95" s="29"/>
      <c r="BZ95" s="30"/>
      <c r="CA95" s="31"/>
    </row>
    <row r="96" spans="2:79" hidden="1">
      <c r="B96" s="297"/>
      <c r="C96" s="307" t="s">
        <v>950</v>
      </c>
      <c r="D96" s="299" t="str">
        <f t="shared" si="24"/>
        <v xml:space="preserve"> 987</v>
      </c>
      <c r="E96" s="308" t="s">
        <v>950</v>
      </c>
      <c r="F96" s="301">
        <f t="shared" si="25"/>
        <v>0</v>
      </c>
      <c r="G96" s="302" t="s">
        <v>1063</v>
      </c>
      <c r="H96" s="302" t="s">
        <v>1077</v>
      </c>
      <c r="I96" s="302" t="s">
        <v>1111</v>
      </c>
      <c r="J96" s="303">
        <v>72000</v>
      </c>
      <c r="K96" s="312">
        <f t="shared" si="18"/>
        <v>3900</v>
      </c>
      <c r="L96" s="301" t="s">
        <v>69</v>
      </c>
      <c r="M96" s="305">
        <f t="shared" si="28"/>
        <v>68100</v>
      </c>
      <c r="N96" s="316">
        <v>3900</v>
      </c>
      <c r="O96" s="306">
        <f t="shared" si="26"/>
        <v>72000</v>
      </c>
      <c r="P96" s="294"/>
      <c r="Q96" s="292" t="s">
        <v>1170</v>
      </c>
      <c r="R96" s="22"/>
      <c r="S96" s="22">
        <f t="shared" si="19"/>
        <v>72000</v>
      </c>
      <c r="T96" s="22">
        <f t="shared" si="20"/>
        <v>102857.14285714287</v>
      </c>
      <c r="U96" s="23">
        <f t="shared" si="21"/>
        <v>117551.02040816328</v>
      </c>
      <c r="V96" s="24">
        <f t="shared" si="22"/>
        <v>0.12500000000000003</v>
      </c>
      <c r="W96" s="23">
        <f t="shared" si="27"/>
        <v>117600</v>
      </c>
      <c r="X96" s="164">
        <f t="shared" si="23"/>
        <v>0.3000000000000001</v>
      </c>
      <c r="Y96" s="25"/>
      <c r="Z96" s="25"/>
      <c r="AA96" s="25"/>
      <c r="AB96" s="34"/>
      <c r="AC96" s="164"/>
      <c r="AD96" s="35"/>
      <c r="AE96" s="36"/>
      <c r="AF96" s="29"/>
      <c r="AG96" s="29"/>
      <c r="AH96" s="30"/>
      <c r="AI96" s="172" t="s">
        <v>608</v>
      </c>
      <c r="AJ96" s="29"/>
      <c r="AK96" s="29"/>
      <c r="AL96" s="30"/>
      <c r="AM96" s="55"/>
      <c r="AN96" s="29"/>
      <c r="AO96" s="29"/>
      <c r="AP96" s="30"/>
      <c r="AQ96" s="55"/>
      <c r="AR96" s="29"/>
      <c r="AS96" s="29"/>
      <c r="AT96" s="30"/>
      <c r="AU96" s="172" t="s">
        <v>608</v>
      </c>
      <c r="AV96" s="29"/>
      <c r="AW96" s="29"/>
      <c r="AX96" s="30"/>
      <c r="AY96" s="55"/>
      <c r="AZ96" s="29"/>
      <c r="BA96" s="29"/>
      <c r="BB96" s="30"/>
      <c r="BC96" s="172" t="s">
        <v>751</v>
      </c>
      <c r="BD96" s="29"/>
      <c r="BE96" s="29"/>
      <c r="BF96" s="30"/>
      <c r="BG96" s="55"/>
      <c r="BH96" s="29"/>
      <c r="BI96" s="29"/>
      <c r="BJ96" s="30"/>
      <c r="BK96" s="55"/>
      <c r="BL96" s="29"/>
      <c r="BM96" s="29"/>
      <c r="BN96" s="30"/>
      <c r="BO96" s="55"/>
      <c r="BP96" s="29"/>
      <c r="BQ96" s="29"/>
      <c r="BR96" s="30"/>
      <c r="BS96" s="55"/>
      <c r="BT96" s="29"/>
      <c r="BU96" s="29"/>
      <c r="BV96" s="30"/>
      <c r="BW96" s="55"/>
      <c r="BX96" s="29"/>
      <c r="BY96" s="29"/>
      <c r="BZ96" s="30"/>
      <c r="CA96" s="31"/>
    </row>
    <row r="97" spans="1:79" hidden="1">
      <c r="B97" s="297"/>
      <c r="C97" s="307" t="s">
        <v>951</v>
      </c>
      <c r="D97" s="299" t="str">
        <f t="shared" si="24"/>
        <v xml:space="preserve"> 681</v>
      </c>
      <c r="E97" s="308" t="s">
        <v>951</v>
      </c>
      <c r="F97" s="301">
        <f t="shared" si="25"/>
        <v>0</v>
      </c>
      <c r="G97" s="302" t="s">
        <v>1063</v>
      </c>
      <c r="H97" s="302" t="s">
        <v>292</v>
      </c>
      <c r="I97" s="302" t="s">
        <v>1112</v>
      </c>
      <c r="J97" s="303">
        <v>44000</v>
      </c>
      <c r="K97" s="312">
        <f t="shared" si="18"/>
        <v>6400</v>
      </c>
      <c r="L97" s="301" t="s">
        <v>69</v>
      </c>
      <c r="M97" s="305">
        <f t="shared" si="28"/>
        <v>37600</v>
      </c>
      <c r="N97" s="316">
        <v>6400</v>
      </c>
      <c r="O97" s="306">
        <f t="shared" si="26"/>
        <v>44000</v>
      </c>
      <c r="P97" s="294"/>
      <c r="Q97" s="292" t="s">
        <v>1172</v>
      </c>
      <c r="R97" s="22"/>
      <c r="S97" s="22">
        <f t="shared" si="19"/>
        <v>44000</v>
      </c>
      <c r="T97" s="22">
        <f t="shared" si="20"/>
        <v>62857.142857142862</v>
      </c>
      <c r="U97" s="23">
        <f t="shared" si="21"/>
        <v>71836.734693877559</v>
      </c>
      <c r="V97" s="24">
        <f t="shared" si="22"/>
        <v>0.12500000000000003</v>
      </c>
      <c r="W97" s="23">
        <f t="shared" si="27"/>
        <v>71900</v>
      </c>
      <c r="X97" s="164">
        <f t="shared" si="23"/>
        <v>0.30000000000000004</v>
      </c>
      <c r="Y97" s="25"/>
      <c r="Z97" s="25"/>
      <c r="AA97" s="25"/>
      <c r="AB97" s="34"/>
      <c r="AC97" s="164"/>
      <c r="AD97" s="46"/>
      <c r="AE97" s="49"/>
      <c r="AF97" s="29"/>
      <c r="AG97" s="29"/>
      <c r="AH97" s="30"/>
      <c r="AI97" s="172" t="s">
        <v>608</v>
      </c>
      <c r="AJ97" s="29"/>
      <c r="AK97" s="29"/>
      <c r="AL97" s="30"/>
      <c r="AM97" s="55"/>
      <c r="AN97" s="29"/>
      <c r="AO97" s="29"/>
      <c r="AP97" s="30"/>
      <c r="AQ97" s="55"/>
      <c r="AR97" s="29"/>
      <c r="AS97" s="29"/>
      <c r="AT97" s="30"/>
      <c r="AU97" s="172" t="s">
        <v>608</v>
      </c>
      <c r="AV97" s="29"/>
      <c r="AW97" s="29"/>
      <c r="AX97" s="30"/>
      <c r="AY97" s="55"/>
      <c r="AZ97" s="29"/>
      <c r="BA97" s="29"/>
      <c r="BB97" s="30"/>
      <c r="BC97" s="172" t="s">
        <v>751</v>
      </c>
      <c r="BD97" s="29"/>
      <c r="BE97" s="29"/>
      <c r="BF97" s="30"/>
      <c r="BG97" s="55"/>
      <c r="BH97" s="29"/>
      <c r="BI97" s="29"/>
      <c r="BJ97" s="30"/>
      <c r="BK97" s="55"/>
      <c r="BL97" s="29"/>
      <c r="BM97" s="29"/>
      <c r="BN97" s="30"/>
      <c r="BO97" s="55"/>
      <c r="BP97" s="29"/>
      <c r="BQ97" s="29"/>
      <c r="BR97" s="30"/>
      <c r="BS97" s="55"/>
      <c r="BT97" s="29"/>
      <c r="BU97" s="29"/>
      <c r="BV97" s="30"/>
      <c r="BW97" s="55"/>
      <c r="BX97" s="29"/>
      <c r="BY97" s="29"/>
      <c r="BZ97" s="30"/>
      <c r="CA97" s="31"/>
    </row>
    <row r="98" spans="1:79" hidden="1">
      <c r="B98" s="297"/>
      <c r="C98" s="307" t="s">
        <v>952</v>
      </c>
      <c r="D98" s="299" t="str">
        <f t="shared" si="24"/>
        <v xml:space="preserve"> 295</v>
      </c>
      <c r="E98" s="308" t="s">
        <v>952</v>
      </c>
      <c r="F98" s="301">
        <f t="shared" si="25"/>
        <v>0</v>
      </c>
      <c r="G98" s="302" t="s">
        <v>1063</v>
      </c>
      <c r="H98" s="302" t="s">
        <v>292</v>
      </c>
      <c r="I98" s="302" t="s">
        <v>1112</v>
      </c>
      <c r="J98" s="303">
        <v>87000</v>
      </c>
      <c r="K98" s="312">
        <f t="shared" si="18"/>
        <v>7500</v>
      </c>
      <c r="L98" s="301" t="s">
        <v>69</v>
      </c>
      <c r="M98" s="305">
        <f t="shared" si="28"/>
        <v>79500</v>
      </c>
      <c r="N98" s="316">
        <v>7500</v>
      </c>
      <c r="O98" s="306">
        <f t="shared" si="26"/>
        <v>87000</v>
      </c>
      <c r="P98" s="294"/>
      <c r="Q98" s="292" t="s">
        <v>1173</v>
      </c>
      <c r="R98" s="22"/>
      <c r="S98" s="22">
        <f t="shared" si="19"/>
        <v>87000</v>
      </c>
      <c r="T98" s="22">
        <f t="shared" si="20"/>
        <v>124285.71428571429</v>
      </c>
      <c r="U98" s="23">
        <f t="shared" si="21"/>
        <v>142040.81632653062</v>
      </c>
      <c r="V98" s="24">
        <f t="shared" si="22"/>
        <v>0.12500000000000003</v>
      </c>
      <c r="W98" s="23">
        <f t="shared" si="27"/>
        <v>142100</v>
      </c>
      <c r="X98" s="164">
        <f t="shared" si="23"/>
        <v>0.30000000000000004</v>
      </c>
      <c r="Y98" s="25"/>
      <c r="Z98" s="25"/>
      <c r="AA98" s="37"/>
      <c r="AB98" s="26" t="s">
        <v>95</v>
      </c>
      <c r="AC98" s="164"/>
      <c r="AD98" s="46"/>
      <c r="AE98" s="49"/>
      <c r="AF98" s="29"/>
      <c r="AG98" s="29"/>
      <c r="AH98" s="30"/>
      <c r="AI98" s="55"/>
      <c r="AJ98" s="29"/>
      <c r="AK98" s="29"/>
      <c r="AL98" s="30"/>
      <c r="AM98" s="55"/>
      <c r="AN98" s="29"/>
      <c r="AO98" s="29"/>
      <c r="AP98" s="30"/>
      <c r="AQ98" s="55"/>
      <c r="AR98" s="29"/>
      <c r="AS98" s="29"/>
      <c r="AT98" s="30"/>
      <c r="AU98" s="55"/>
      <c r="AV98" s="29"/>
      <c r="AW98" s="29"/>
      <c r="AX98" s="30"/>
      <c r="AY98" s="172"/>
      <c r="AZ98" s="29"/>
      <c r="BA98" s="29"/>
      <c r="BB98" s="30"/>
      <c r="BC98" s="172" t="s">
        <v>608</v>
      </c>
      <c r="BD98" s="29"/>
      <c r="BE98" s="29"/>
      <c r="BF98" s="30"/>
      <c r="BG98" s="55"/>
      <c r="BH98" s="29"/>
      <c r="BI98" s="29"/>
      <c r="BJ98" s="30"/>
      <c r="BK98" s="55"/>
      <c r="BL98" s="29"/>
      <c r="BM98" s="29"/>
      <c r="BN98" s="30"/>
      <c r="BO98" s="55"/>
      <c r="BP98" s="55"/>
      <c r="BQ98" s="55"/>
      <c r="BR98" s="55"/>
      <c r="BS98" s="55"/>
      <c r="BT98" s="55"/>
      <c r="BU98" s="55"/>
      <c r="BV98" s="55"/>
      <c r="BW98" s="55"/>
      <c r="BX98" s="29"/>
      <c r="BY98" s="29"/>
      <c r="BZ98" s="30"/>
      <c r="CA98" s="31"/>
    </row>
    <row r="99" spans="1:79" hidden="1">
      <c r="B99" s="297"/>
      <c r="C99" s="307" t="s">
        <v>953</v>
      </c>
      <c r="D99" s="299" t="str">
        <f t="shared" si="24"/>
        <v xml:space="preserve"> 528</v>
      </c>
      <c r="E99" s="308" t="s">
        <v>953</v>
      </c>
      <c r="F99" s="301">
        <f t="shared" si="25"/>
        <v>0</v>
      </c>
      <c r="G99" s="302" t="s">
        <v>1063</v>
      </c>
      <c r="H99" s="302" t="s">
        <v>292</v>
      </c>
      <c r="I99" s="302" t="s">
        <v>1112</v>
      </c>
      <c r="J99" s="303">
        <v>50000</v>
      </c>
      <c r="K99" s="312">
        <f t="shared" si="18"/>
        <v>5900</v>
      </c>
      <c r="L99" s="301" t="s">
        <v>69</v>
      </c>
      <c r="M99" s="305">
        <f t="shared" si="28"/>
        <v>44100</v>
      </c>
      <c r="N99" s="316">
        <v>5900</v>
      </c>
      <c r="O99" s="306">
        <f t="shared" si="26"/>
        <v>50000</v>
      </c>
      <c r="P99" s="294"/>
      <c r="Q99" s="292" t="s">
        <v>1174</v>
      </c>
      <c r="R99" s="22"/>
      <c r="S99" s="22">
        <f t="shared" si="19"/>
        <v>50000</v>
      </c>
      <c r="T99" s="22">
        <f t="shared" si="20"/>
        <v>71428.571428571435</v>
      </c>
      <c r="U99" s="23">
        <f t="shared" si="21"/>
        <v>81632.653061224497</v>
      </c>
      <c r="V99" s="24">
        <f t="shared" si="22"/>
        <v>0.125</v>
      </c>
      <c r="W99" s="23">
        <f t="shared" si="27"/>
        <v>81700</v>
      </c>
      <c r="X99" s="164">
        <f t="shared" si="23"/>
        <v>0.30000000000000004</v>
      </c>
      <c r="Y99" s="25"/>
      <c r="Z99" s="25"/>
      <c r="AA99" s="25"/>
      <c r="AB99" s="34"/>
      <c r="AC99" s="164">
        <f>AVERAGE(X98,X99)</f>
        <v>0.30000000000000004</v>
      </c>
      <c r="AD99" s="46">
        <f>AVERAGE(T98,T99)</f>
        <v>97857.14285714287</v>
      </c>
      <c r="AE99" s="28"/>
      <c r="AF99" s="180">
        <v>116642.85714285714</v>
      </c>
      <c r="AG99" s="181">
        <v>114857</v>
      </c>
      <c r="AH99" s="21">
        <f>(AD99-AF99)/AF99</f>
        <v>-0.1610532761788119</v>
      </c>
      <c r="AI99" s="55"/>
      <c r="AJ99" s="29"/>
      <c r="AK99" s="29"/>
      <c r="AL99" s="30"/>
      <c r="AM99" s="55"/>
      <c r="AN99" s="29"/>
      <c r="AO99" s="29"/>
      <c r="AP99" s="30"/>
      <c r="AQ99" s="55"/>
      <c r="AR99" s="29"/>
      <c r="AS99" s="29"/>
      <c r="AT99" s="30"/>
      <c r="AU99" s="55"/>
      <c r="AV99" s="29"/>
      <c r="AW99" s="29"/>
      <c r="AX99" s="30"/>
      <c r="AY99" s="29"/>
      <c r="AZ99" s="29"/>
      <c r="BA99" s="29"/>
      <c r="BB99" s="30"/>
      <c r="BC99" s="59">
        <v>153306</v>
      </c>
      <c r="BD99" s="29"/>
      <c r="BE99" s="181">
        <v>116640</v>
      </c>
      <c r="BF99" s="30"/>
      <c r="BG99" s="55"/>
      <c r="BH99" s="29"/>
      <c r="BI99" s="29"/>
      <c r="BJ99" s="30"/>
      <c r="BK99" s="55"/>
      <c r="BL99" s="29"/>
      <c r="BM99" s="29"/>
      <c r="BN99" s="30"/>
      <c r="BO99" s="55"/>
      <c r="BP99" s="181">
        <f>81250/0.7</f>
        <v>116071.42857142858</v>
      </c>
      <c r="BQ99" s="181">
        <v>110440</v>
      </c>
      <c r="BR99" s="30"/>
      <c r="BS99" s="55"/>
      <c r="BT99" s="181">
        <f>65126/0.7</f>
        <v>93037.14285714287</v>
      </c>
      <c r="BU99" s="181">
        <v>106650</v>
      </c>
      <c r="BV99" s="30"/>
      <c r="BW99" s="55"/>
      <c r="BX99" s="29"/>
      <c r="BY99" s="29"/>
      <c r="BZ99" s="30"/>
      <c r="CA99" s="31"/>
    </row>
    <row r="100" spans="1:79" hidden="1">
      <c r="B100" s="297"/>
      <c r="C100" s="307" t="s">
        <v>954</v>
      </c>
      <c r="D100" s="299" t="str">
        <f t="shared" si="24"/>
        <v xml:space="preserve"> 174</v>
      </c>
      <c r="E100" s="308" t="s">
        <v>954</v>
      </c>
      <c r="F100" s="301">
        <f t="shared" si="25"/>
        <v>0</v>
      </c>
      <c r="G100" s="302" t="s">
        <v>1063</v>
      </c>
      <c r="H100" s="302" t="s">
        <v>151</v>
      </c>
      <c r="I100" s="302" t="s">
        <v>1113</v>
      </c>
      <c r="J100" s="303">
        <v>104000</v>
      </c>
      <c r="K100" s="312">
        <f t="shared" ref="K100:K132" si="29">J100-M100</f>
        <v>3900</v>
      </c>
      <c r="L100" s="301" t="s">
        <v>69</v>
      </c>
      <c r="M100" s="305">
        <f t="shared" si="28"/>
        <v>100100</v>
      </c>
      <c r="N100" s="316">
        <v>3900</v>
      </c>
      <c r="O100" s="306">
        <f t="shared" si="26"/>
        <v>104000</v>
      </c>
      <c r="P100" s="294"/>
      <c r="Q100" s="292" t="s">
        <v>1164</v>
      </c>
      <c r="R100" s="22"/>
      <c r="S100" s="22">
        <f t="shared" si="19"/>
        <v>104000</v>
      </c>
      <c r="T100" s="22">
        <f t="shared" si="20"/>
        <v>148571.42857142858</v>
      </c>
      <c r="U100" s="23">
        <f t="shared" si="21"/>
        <v>169795.91836734695</v>
      </c>
      <c r="V100" s="24">
        <f t="shared" si="22"/>
        <v>0.12500000000000003</v>
      </c>
      <c r="W100" s="23">
        <f t="shared" si="27"/>
        <v>169800</v>
      </c>
      <c r="X100" s="164">
        <f t="shared" si="23"/>
        <v>0.30000000000000004</v>
      </c>
      <c r="Y100" s="188">
        <v>123000.00000000001</v>
      </c>
      <c r="Z100" s="188">
        <f>T100-Y100</f>
        <v>25571.428571428565</v>
      </c>
      <c r="AA100" s="189">
        <f>Z100/Y100</f>
        <v>0.20789779326364685</v>
      </c>
      <c r="AB100" s="34"/>
      <c r="AC100" s="164"/>
      <c r="AD100" s="46"/>
      <c r="AE100" s="49"/>
      <c r="AF100" s="29"/>
      <c r="AG100" s="29"/>
      <c r="AH100" s="30"/>
      <c r="AI100" s="172" t="s">
        <v>608</v>
      </c>
      <c r="AJ100" s="29"/>
      <c r="AK100" s="29"/>
      <c r="AL100" s="30"/>
      <c r="AM100" s="172" t="s">
        <v>608</v>
      </c>
      <c r="AN100" s="29"/>
      <c r="AO100" s="29"/>
      <c r="AP100" s="30"/>
      <c r="AQ100" s="172" t="s">
        <v>608</v>
      </c>
      <c r="AR100" s="29"/>
      <c r="AS100" s="29"/>
      <c r="AT100" s="30"/>
      <c r="AU100" s="172" t="s">
        <v>608</v>
      </c>
      <c r="AV100" s="29"/>
      <c r="AW100" s="29"/>
      <c r="AX100" s="30"/>
      <c r="AY100" s="55"/>
      <c r="AZ100" s="29"/>
      <c r="BA100" s="29"/>
      <c r="BB100" s="30"/>
      <c r="BC100" s="172" t="s">
        <v>751</v>
      </c>
      <c r="BD100" s="29"/>
      <c r="BE100" s="29"/>
      <c r="BF100" s="30"/>
      <c r="BG100" s="55"/>
      <c r="BH100" s="29"/>
      <c r="BI100" s="29"/>
      <c r="BJ100" s="30"/>
      <c r="BK100" s="172" t="s">
        <v>751</v>
      </c>
      <c r="BL100" s="29"/>
      <c r="BM100" s="29"/>
      <c r="BN100" s="30"/>
      <c r="BO100" s="55"/>
      <c r="BP100" s="29"/>
      <c r="BQ100" s="29"/>
      <c r="BR100" s="30"/>
      <c r="BS100" s="55"/>
      <c r="BT100" s="29"/>
      <c r="BU100" s="29"/>
      <c r="BV100" s="30"/>
      <c r="BW100" s="55"/>
      <c r="BX100" s="29"/>
      <c r="BY100" s="29"/>
      <c r="BZ100" s="30"/>
      <c r="CA100" s="31"/>
    </row>
    <row r="101" spans="1:79" hidden="1">
      <c r="B101" s="297"/>
      <c r="C101" s="307" t="s">
        <v>955</v>
      </c>
      <c r="D101" s="299" t="str">
        <f t="shared" si="24"/>
        <v xml:space="preserve"> 224</v>
      </c>
      <c r="E101" s="308" t="s">
        <v>955</v>
      </c>
      <c r="F101" s="301">
        <f t="shared" si="25"/>
        <v>0</v>
      </c>
      <c r="G101" s="302" t="s">
        <v>1063</v>
      </c>
      <c r="H101" s="302" t="s">
        <v>1064</v>
      </c>
      <c r="I101" s="302" t="s">
        <v>1113</v>
      </c>
      <c r="J101" s="303">
        <v>100000</v>
      </c>
      <c r="K101" s="312">
        <f t="shared" si="29"/>
        <v>6550</v>
      </c>
      <c r="L101" s="301" t="s">
        <v>69</v>
      </c>
      <c r="M101" s="305">
        <f t="shared" si="28"/>
        <v>93450</v>
      </c>
      <c r="N101" s="316">
        <v>6550</v>
      </c>
      <c r="O101" s="306">
        <f t="shared" si="26"/>
        <v>100000</v>
      </c>
      <c r="P101" s="294"/>
      <c r="Q101" s="292" t="s">
        <v>1175</v>
      </c>
      <c r="R101" s="22"/>
      <c r="S101" s="22">
        <f t="shared" si="19"/>
        <v>100000</v>
      </c>
      <c r="T101" s="22">
        <f t="shared" si="20"/>
        <v>142857.14285714287</v>
      </c>
      <c r="U101" s="23">
        <f t="shared" si="21"/>
        <v>163265.30612244899</v>
      </c>
      <c r="V101" s="24">
        <f t="shared" si="22"/>
        <v>0.125</v>
      </c>
      <c r="W101" s="23">
        <f t="shared" si="27"/>
        <v>163300</v>
      </c>
      <c r="X101" s="164">
        <f t="shared" si="23"/>
        <v>0.30000000000000004</v>
      </c>
      <c r="Y101" s="188">
        <v>127285.71428571429</v>
      </c>
      <c r="Z101" s="188">
        <f>T101-Y101</f>
        <v>15571.42857142858</v>
      </c>
      <c r="AA101" s="189">
        <f>Z101/Y101</f>
        <v>0.12233445566778907</v>
      </c>
      <c r="AB101" s="34"/>
      <c r="AC101" s="164"/>
      <c r="AD101" s="46"/>
      <c r="AE101" s="49"/>
      <c r="AF101" s="29"/>
      <c r="AG101" s="29"/>
      <c r="AH101" s="30"/>
      <c r="AI101" s="172" t="s">
        <v>608</v>
      </c>
      <c r="AJ101" s="29"/>
      <c r="AK101" s="29"/>
      <c r="AL101" s="30"/>
      <c r="AM101" s="172" t="s">
        <v>608</v>
      </c>
      <c r="AN101" s="29"/>
      <c r="AO101" s="29"/>
      <c r="AP101" s="30"/>
      <c r="AQ101" s="172" t="s">
        <v>608</v>
      </c>
      <c r="AR101" s="29"/>
      <c r="AS101" s="29"/>
      <c r="AT101" s="30"/>
      <c r="AU101" s="172" t="s">
        <v>608</v>
      </c>
      <c r="AV101" s="29"/>
      <c r="AW101" s="29"/>
      <c r="AX101" s="30"/>
      <c r="AY101" s="55"/>
      <c r="AZ101" s="29"/>
      <c r="BA101" s="29"/>
      <c r="BB101" s="30"/>
      <c r="BC101" s="172" t="s">
        <v>751</v>
      </c>
      <c r="BD101" s="29"/>
      <c r="BE101" s="29"/>
      <c r="BF101" s="30"/>
      <c r="BG101" s="55"/>
      <c r="BH101" s="29"/>
      <c r="BI101" s="29"/>
      <c r="BJ101" s="30"/>
      <c r="BK101" s="172" t="s">
        <v>751</v>
      </c>
      <c r="BL101" s="29"/>
      <c r="BM101" s="29"/>
      <c r="BN101" s="30"/>
      <c r="BO101" s="55"/>
      <c r="BP101" s="29"/>
      <c r="BQ101" s="29"/>
      <c r="BR101" s="30"/>
      <c r="BS101" s="55"/>
      <c r="BT101" s="29"/>
      <c r="BU101" s="29"/>
      <c r="BV101" s="30"/>
      <c r="BW101" s="55"/>
      <c r="BX101" s="29"/>
      <c r="BY101" s="29"/>
      <c r="BZ101" s="30"/>
      <c r="CA101" s="31"/>
    </row>
    <row r="102" spans="1:79" hidden="1">
      <c r="B102" s="297"/>
      <c r="C102" s="307" t="s">
        <v>956</v>
      </c>
      <c r="D102" s="299" t="str">
        <f t="shared" si="24"/>
        <v xml:space="preserve"> 916</v>
      </c>
      <c r="E102" s="308" t="s">
        <v>956</v>
      </c>
      <c r="F102" s="301">
        <f t="shared" si="25"/>
        <v>0</v>
      </c>
      <c r="G102" s="302" t="s">
        <v>1063</v>
      </c>
      <c r="H102" s="302" t="s">
        <v>1082</v>
      </c>
      <c r="I102" s="302" t="s">
        <v>1114</v>
      </c>
      <c r="J102" s="303">
        <v>103000</v>
      </c>
      <c r="K102" s="312">
        <f t="shared" si="29"/>
        <v>4050</v>
      </c>
      <c r="L102" s="301" t="s">
        <v>69</v>
      </c>
      <c r="M102" s="305">
        <f t="shared" si="28"/>
        <v>98950</v>
      </c>
      <c r="N102" s="316">
        <v>4050</v>
      </c>
      <c r="O102" s="306">
        <f t="shared" ref="O102:O133" si="30">M102+N102</f>
        <v>103000</v>
      </c>
      <c r="P102" s="294"/>
      <c r="Q102" s="292" t="s">
        <v>1176</v>
      </c>
      <c r="R102" s="22"/>
      <c r="S102" s="22">
        <f t="shared" si="19"/>
        <v>103000</v>
      </c>
      <c r="T102" s="22">
        <f t="shared" si="20"/>
        <v>147142.85714285716</v>
      </c>
      <c r="U102" s="23">
        <f t="shared" si="21"/>
        <v>168163.26530612246</v>
      </c>
      <c r="V102" s="24">
        <f t="shared" si="22"/>
        <v>0.12499999999999993</v>
      </c>
      <c r="W102" s="23">
        <f t="shared" si="27"/>
        <v>168200</v>
      </c>
      <c r="X102" s="164">
        <f t="shared" si="23"/>
        <v>0.3000000000000001</v>
      </c>
      <c r="Y102" s="25"/>
      <c r="Z102" s="25"/>
      <c r="AA102" s="25"/>
      <c r="AB102" s="34"/>
      <c r="AC102" s="164"/>
      <c r="AD102" s="46"/>
      <c r="AE102" s="49"/>
      <c r="AF102" s="29"/>
      <c r="AG102" s="29"/>
      <c r="AH102" s="30"/>
      <c r="AI102" s="172" t="s">
        <v>608</v>
      </c>
      <c r="AJ102" s="29"/>
      <c r="AK102" s="29"/>
      <c r="AL102" s="30"/>
      <c r="AM102" s="172" t="s">
        <v>608</v>
      </c>
      <c r="AN102" s="29"/>
      <c r="AO102" s="29"/>
      <c r="AP102" s="30"/>
      <c r="AQ102" s="172" t="s">
        <v>608</v>
      </c>
      <c r="AR102" s="29"/>
      <c r="AS102" s="29"/>
      <c r="AT102" s="30"/>
      <c r="AU102" s="172" t="s">
        <v>608</v>
      </c>
      <c r="AV102" s="29"/>
      <c r="AW102" s="29"/>
      <c r="AX102" s="30"/>
      <c r="AY102" s="55"/>
      <c r="AZ102" s="29"/>
      <c r="BA102" s="29"/>
      <c r="BB102" s="30"/>
      <c r="BC102" s="172" t="s">
        <v>751</v>
      </c>
      <c r="BD102" s="29"/>
      <c r="BE102" s="29"/>
      <c r="BF102" s="30"/>
      <c r="BG102" s="55"/>
      <c r="BH102" s="29"/>
      <c r="BI102" s="29"/>
      <c r="BJ102" s="30"/>
      <c r="BK102" s="172" t="s">
        <v>751</v>
      </c>
      <c r="BL102" s="29"/>
      <c r="BM102" s="29"/>
      <c r="BN102" s="30"/>
      <c r="BO102" s="55"/>
      <c r="BP102" s="29"/>
      <c r="BQ102" s="29"/>
      <c r="BR102" s="30"/>
      <c r="BS102" s="55"/>
      <c r="BT102" s="29"/>
      <c r="BU102" s="29"/>
      <c r="BV102" s="30"/>
      <c r="BW102" s="55"/>
      <c r="BX102" s="29"/>
      <c r="BY102" s="29"/>
      <c r="BZ102" s="30"/>
      <c r="CA102" s="31"/>
    </row>
    <row r="103" spans="1:79" hidden="1">
      <c r="B103" s="297"/>
      <c r="C103" s="307" t="s">
        <v>957</v>
      </c>
      <c r="D103" s="299" t="str">
        <f t="shared" si="24"/>
        <v xml:space="preserve"> 996</v>
      </c>
      <c r="E103" s="308" t="s">
        <v>957</v>
      </c>
      <c r="F103" s="301">
        <f t="shared" si="25"/>
        <v>0</v>
      </c>
      <c r="G103" s="302" t="s">
        <v>1063</v>
      </c>
      <c r="H103" s="302" t="s">
        <v>1082</v>
      </c>
      <c r="I103" s="302" t="s">
        <v>1114</v>
      </c>
      <c r="J103" s="303">
        <v>103000</v>
      </c>
      <c r="K103" s="312">
        <f t="shared" si="29"/>
        <v>4850</v>
      </c>
      <c r="L103" s="301" t="s">
        <v>69</v>
      </c>
      <c r="M103" s="305">
        <f t="shared" si="28"/>
        <v>98150</v>
      </c>
      <c r="N103" s="316">
        <v>4850</v>
      </c>
      <c r="O103" s="306">
        <f t="shared" si="30"/>
        <v>103000</v>
      </c>
      <c r="P103" s="294"/>
      <c r="Q103" s="292" t="s">
        <v>1177</v>
      </c>
      <c r="R103" s="22"/>
      <c r="S103" s="22">
        <f t="shared" si="19"/>
        <v>103000</v>
      </c>
      <c r="T103" s="22">
        <f t="shared" si="20"/>
        <v>147142.85714285716</v>
      </c>
      <c r="U103" s="23">
        <f t="shared" si="21"/>
        <v>168163.26530612246</v>
      </c>
      <c r="V103" s="24">
        <f t="shared" si="22"/>
        <v>0.12499999999999993</v>
      </c>
      <c r="W103" s="23">
        <f t="shared" si="27"/>
        <v>168200</v>
      </c>
      <c r="X103" s="164">
        <f t="shared" si="23"/>
        <v>0.3000000000000001</v>
      </c>
      <c r="Y103" s="25"/>
      <c r="Z103" s="25"/>
      <c r="AA103" s="37"/>
      <c r="AB103" s="34"/>
      <c r="AC103" s="164"/>
      <c r="AD103" s="46"/>
      <c r="AE103" s="49"/>
      <c r="AF103" s="29"/>
      <c r="AG103" s="29"/>
      <c r="AH103" s="30"/>
      <c r="AI103" s="172" t="s">
        <v>608</v>
      </c>
      <c r="AJ103" s="29"/>
      <c r="AK103" s="29"/>
      <c r="AL103" s="30"/>
      <c r="AM103" s="172" t="s">
        <v>608</v>
      </c>
      <c r="AN103" s="29"/>
      <c r="AO103" s="29"/>
      <c r="AP103" s="30"/>
      <c r="AQ103" s="172" t="s">
        <v>608</v>
      </c>
      <c r="AR103" s="29"/>
      <c r="AS103" s="29"/>
      <c r="AT103" s="30"/>
      <c r="AU103" s="172" t="s">
        <v>608</v>
      </c>
      <c r="AV103" s="29"/>
      <c r="AW103" s="29"/>
      <c r="AX103" s="30"/>
      <c r="AY103" s="55"/>
      <c r="AZ103" s="29"/>
      <c r="BA103" s="29"/>
      <c r="BB103" s="30"/>
      <c r="BC103" s="172" t="s">
        <v>751</v>
      </c>
      <c r="BD103" s="29"/>
      <c r="BE103" s="29"/>
      <c r="BF103" s="30"/>
      <c r="BG103" s="55"/>
      <c r="BH103" s="29"/>
      <c r="BI103" s="29"/>
      <c r="BJ103" s="30"/>
      <c r="BK103" s="172" t="s">
        <v>751</v>
      </c>
      <c r="BL103" s="29"/>
      <c r="BM103" s="29"/>
      <c r="BN103" s="30"/>
      <c r="BO103" s="55"/>
      <c r="BP103" s="29"/>
      <c r="BQ103" s="29"/>
      <c r="BR103" s="30"/>
      <c r="BS103" s="55"/>
      <c r="BT103" s="29"/>
      <c r="BU103" s="29"/>
      <c r="BV103" s="30"/>
      <c r="BW103" s="55"/>
      <c r="BX103" s="29"/>
      <c r="BY103" s="29"/>
      <c r="BZ103" s="30"/>
      <c r="CA103" s="31"/>
    </row>
    <row r="104" spans="1:79" hidden="1">
      <c r="A104" s="71" t="s">
        <v>1242</v>
      </c>
      <c r="B104" s="297"/>
      <c r="C104" s="307" t="s">
        <v>958</v>
      </c>
      <c r="D104" s="299" t="str">
        <f t="shared" si="24"/>
        <v xml:space="preserve"> 950</v>
      </c>
      <c r="E104" s="308" t="s">
        <v>958</v>
      </c>
      <c r="F104" s="301">
        <f t="shared" si="25"/>
        <v>0</v>
      </c>
      <c r="G104" s="302" t="s">
        <v>1063</v>
      </c>
      <c r="H104" s="302" t="s">
        <v>292</v>
      </c>
      <c r="I104" s="302" t="s">
        <v>1115</v>
      </c>
      <c r="J104" s="303">
        <v>70000</v>
      </c>
      <c r="K104" s="312">
        <f t="shared" si="29"/>
        <v>7500</v>
      </c>
      <c r="L104" s="301" t="s">
        <v>69</v>
      </c>
      <c r="M104" s="305">
        <f t="shared" si="28"/>
        <v>62500</v>
      </c>
      <c r="N104" s="316">
        <f>2000+300+600+1000+3600</f>
        <v>7500</v>
      </c>
      <c r="O104" s="306">
        <f t="shared" si="30"/>
        <v>70000</v>
      </c>
      <c r="P104" s="294"/>
      <c r="Q104" s="292" t="s">
        <v>1178</v>
      </c>
      <c r="R104" s="22"/>
      <c r="S104" s="22">
        <f t="shared" si="19"/>
        <v>70000</v>
      </c>
      <c r="T104" s="22">
        <f t="shared" si="20"/>
        <v>100000</v>
      </c>
      <c r="U104" s="23">
        <f t="shared" si="21"/>
        <v>114285.71428571429</v>
      </c>
      <c r="V104" s="24">
        <f t="shared" si="22"/>
        <v>0.12500000000000003</v>
      </c>
      <c r="W104" s="23">
        <f t="shared" si="27"/>
        <v>114300</v>
      </c>
      <c r="X104" s="164">
        <f t="shared" si="23"/>
        <v>0.3</v>
      </c>
      <c r="Y104" s="188">
        <v>118714.28571428572</v>
      </c>
      <c r="Z104" s="188">
        <f>T104-Y104</f>
        <v>-18714.285714285725</v>
      </c>
      <c r="AA104" s="189">
        <f>Z104/Y104</f>
        <v>-0.15764139590854401</v>
      </c>
      <c r="AB104" s="34"/>
      <c r="AC104" s="164"/>
      <c r="AD104" s="35"/>
      <c r="AE104" s="36"/>
      <c r="AF104" s="29"/>
      <c r="AG104" s="29"/>
      <c r="AH104" s="30"/>
      <c r="AI104" s="172" t="s">
        <v>608</v>
      </c>
      <c r="AJ104" s="29"/>
      <c r="AK104" s="29"/>
      <c r="AL104" s="30"/>
      <c r="AM104" s="172" t="s">
        <v>608</v>
      </c>
      <c r="AN104" s="29"/>
      <c r="AO104" s="29"/>
      <c r="AP104" s="30"/>
      <c r="AQ104" s="172" t="s">
        <v>608</v>
      </c>
      <c r="AR104" s="29"/>
      <c r="AS104" s="29"/>
      <c r="AT104" s="30"/>
      <c r="AU104" s="172" t="s">
        <v>608</v>
      </c>
      <c r="AV104" s="29"/>
      <c r="AW104" s="29"/>
      <c r="AX104" s="30"/>
      <c r="AY104" s="55"/>
      <c r="AZ104" s="29"/>
      <c r="BA104" s="29"/>
      <c r="BB104" s="30"/>
      <c r="BC104" s="172" t="s">
        <v>751</v>
      </c>
      <c r="BD104" s="29"/>
      <c r="BE104" s="29"/>
      <c r="BF104" s="30"/>
      <c r="BG104" s="55"/>
      <c r="BH104" s="29"/>
      <c r="BI104" s="29"/>
      <c r="BJ104" s="30"/>
      <c r="BK104" s="172" t="s">
        <v>751</v>
      </c>
      <c r="BL104" s="29"/>
      <c r="BM104" s="29"/>
      <c r="BN104" s="30"/>
      <c r="BO104" s="55"/>
      <c r="BP104" s="29"/>
      <c r="BQ104" s="29"/>
      <c r="BR104" s="30"/>
      <c r="BS104" s="55"/>
      <c r="BT104" s="29"/>
      <c r="BU104" s="29"/>
      <c r="BV104" s="30"/>
      <c r="BW104" s="55"/>
      <c r="BX104" s="29"/>
      <c r="BY104" s="29"/>
      <c r="BZ104" s="30"/>
      <c r="CA104" s="31"/>
    </row>
    <row r="105" spans="1:79" hidden="1">
      <c r="A105" s="71" t="s">
        <v>1242</v>
      </c>
      <c r="B105" s="297"/>
      <c r="C105" s="307" t="s">
        <v>959</v>
      </c>
      <c r="D105" s="299" t="str">
        <f t="shared" si="24"/>
        <v xml:space="preserve"> 319</v>
      </c>
      <c r="E105" s="308" t="s">
        <v>959</v>
      </c>
      <c r="F105" s="301">
        <f t="shared" si="25"/>
        <v>0</v>
      </c>
      <c r="G105" s="302" t="s">
        <v>1063</v>
      </c>
      <c r="H105" s="302" t="s">
        <v>292</v>
      </c>
      <c r="I105" s="302" t="s">
        <v>1115</v>
      </c>
      <c r="J105" s="303">
        <v>67500</v>
      </c>
      <c r="K105" s="312">
        <f t="shared" si="29"/>
        <v>7500</v>
      </c>
      <c r="L105" s="301" t="s">
        <v>69</v>
      </c>
      <c r="M105" s="305">
        <f t="shared" si="28"/>
        <v>60000</v>
      </c>
      <c r="N105" s="316">
        <f t="shared" ref="N105:N109" si="31">2000+300+600+1000+3600</f>
        <v>7500</v>
      </c>
      <c r="O105" s="306">
        <f t="shared" si="30"/>
        <v>67500</v>
      </c>
      <c r="P105" s="294"/>
      <c r="Q105" s="292" t="s">
        <v>1178</v>
      </c>
      <c r="R105" s="22"/>
      <c r="S105" s="22">
        <f t="shared" si="19"/>
        <v>67500</v>
      </c>
      <c r="T105" s="22">
        <f t="shared" si="20"/>
        <v>96428.571428571435</v>
      </c>
      <c r="U105" s="23">
        <f t="shared" si="21"/>
        <v>110204.08163265306</v>
      </c>
      <c r="V105" s="24">
        <f t="shared" si="22"/>
        <v>0.12499999999999994</v>
      </c>
      <c r="W105" s="23">
        <f t="shared" si="27"/>
        <v>110300</v>
      </c>
      <c r="X105" s="164">
        <f t="shared" si="23"/>
        <v>0.30000000000000004</v>
      </c>
      <c r="Y105" s="25"/>
      <c r="Z105" s="25"/>
      <c r="AA105" s="37"/>
      <c r="AB105" s="26"/>
      <c r="AC105" s="26"/>
      <c r="AD105" s="35"/>
      <c r="AE105" s="36"/>
      <c r="AF105" s="29"/>
      <c r="AG105" s="29"/>
      <c r="AH105" s="30"/>
      <c r="AI105" s="172" t="s">
        <v>608</v>
      </c>
      <c r="AJ105" s="29"/>
      <c r="AK105" s="29"/>
      <c r="AL105" s="30"/>
      <c r="AM105" s="55"/>
      <c r="AN105" s="29"/>
      <c r="AO105" s="29"/>
      <c r="AP105" s="30"/>
      <c r="AQ105" s="172" t="s">
        <v>608</v>
      </c>
      <c r="AR105" s="29"/>
      <c r="AS105" s="29"/>
      <c r="AT105" s="30"/>
      <c r="AU105" s="172" t="s">
        <v>608</v>
      </c>
      <c r="AV105" s="29"/>
      <c r="AW105" s="29"/>
      <c r="AX105" s="30"/>
      <c r="AY105" s="55"/>
      <c r="AZ105" s="29"/>
      <c r="BA105" s="29"/>
      <c r="BB105" s="30"/>
      <c r="BC105" s="172" t="s">
        <v>751</v>
      </c>
      <c r="BD105" s="29"/>
      <c r="BE105" s="29"/>
      <c r="BF105" s="30"/>
      <c r="BG105" s="55"/>
      <c r="BH105" s="29"/>
      <c r="BI105" s="29"/>
      <c r="BJ105" s="30"/>
      <c r="BK105" s="172" t="s">
        <v>751</v>
      </c>
      <c r="BL105" s="29"/>
      <c r="BM105" s="29"/>
      <c r="BN105" s="30"/>
      <c r="BO105" s="55"/>
      <c r="BP105" s="29"/>
      <c r="BQ105" s="29"/>
      <c r="BR105" s="30"/>
      <c r="BS105" s="55"/>
      <c r="BT105" s="29"/>
      <c r="BU105" s="29"/>
      <c r="BV105" s="30"/>
      <c r="BW105" s="55"/>
      <c r="BX105" s="29"/>
      <c r="BY105" s="29"/>
      <c r="BZ105" s="30"/>
      <c r="CA105" s="31"/>
    </row>
    <row r="106" spans="1:79" hidden="1">
      <c r="A106" s="71" t="s">
        <v>1242</v>
      </c>
      <c r="B106" s="297"/>
      <c r="C106" s="307" t="s">
        <v>960</v>
      </c>
      <c r="D106" s="299" t="str">
        <f t="shared" si="24"/>
        <v xml:space="preserve"> 807</v>
      </c>
      <c r="E106" s="308" t="s">
        <v>960</v>
      </c>
      <c r="F106" s="301">
        <f t="shared" si="25"/>
        <v>0</v>
      </c>
      <c r="G106" s="302" t="s">
        <v>1063</v>
      </c>
      <c r="H106" s="302" t="s">
        <v>292</v>
      </c>
      <c r="I106" s="302" t="s">
        <v>1115</v>
      </c>
      <c r="J106" s="303">
        <v>70000</v>
      </c>
      <c r="K106" s="312">
        <f t="shared" si="29"/>
        <v>7500</v>
      </c>
      <c r="L106" s="301" t="s">
        <v>69</v>
      </c>
      <c r="M106" s="305">
        <f t="shared" si="28"/>
        <v>62500</v>
      </c>
      <c r="N106" s="316">
        <f t="shared" si="31"/>
        <v>7500</v>
      </c>
      <c r="O106" s="306">
        <f t="shared" si="30"/>
        <v>70000</v>
      </c>
      <c r="P106" s="294"/>
      <c r="Q106" s="292" t="s">
        <v>1178</v>
      </c>
      <c r="R106" s="22"/>
      <c r="S106" s="22">
        <f t="shared" si="19"/>
        <v>70000</v>
      </c>
      <c r="T106" s="22">
        <f t="shared" si="20"/>
        <v>100000</v>
      </c>
      <c r="U106" s="23">
        <f t="shared" si="21"/>
        <v>114285.71428571429</v>
      </c>
      <c r="V106" s="24">
        <f t="shared" si="22"/>
        <v>0.12500000000000003</v>
      </c>
      <c r="W106" s="23">
        <f t="shared" si="27"/>
        <v>114300</v>
      </c>
      <c r="X106" s="164">
        <f t="shared" si="23"/>
        <v>0.3</v>
      </c>
      <c r="Y106" s="188">
        <v>118714.28571428572</v>
      </c>
      <c r="Z106" s="188">
        <f>T106-Y106</f>
        <v>-18714.285714285725</v>
      </c>
      <c r="AA106" s="189">
        <f>Z106/Y106</f>
        <v>-0.15764139590854401</v>
      </c>
      <c r="AB106" s="26"/>
      <c r="AC106" s="164"/>
      <c r="AD106" s="35"/>
      <c r="AE106" s="36"/>
      <c r="AF106" s="29"/>
      <c r="AG106" s="29"/>
      <c r="AH106" s="30"/>
      <c r="AI106" s="172" t="s">
        <v>608</v>
      </c>
      <c r="AJ106" s="29"/>
      <c r="AK106" s="29"/>
      <c r="AL106" s="30"/>
      <c r="AM106" s="172" t="s">
        <v>608</v>
      </c>
      <c r="AN106" s="29"/>
      <c r="AO106" s="29"/>
      <c r="AP106" s="30"/>
      <c r="AQ106" s="172" t="s">
        <v>608</v>
      </c>
      <c r="AR106" s="29"/>
      <c r="AS106" s="29"/>
      <c r="AT106" s="30"/>
      <c r="AU106" s="172" t="s">
        <v>608</v>
      </c>
      <c r="AV106" s="29"/>
      <c r="AW106" s="29"/>
      <c r="AX106" s="30"/>
      <c r="AY106" s="55"/>
      <c r="AZ106" s="29"/>
      <c r="BA106" s="29"/>
      <c r="BB106" s="30"/>
      <c r="BC106" s="172" t="s">
        <v>751</v>
      </c>
      <c r="BD106" s="29"/>
      <c r="BE106" s="29"/>
      <c r="BF106" s="30"/>
      <c r="BG106" s="55"/>
      <c r="BH106" s="29"/>
      <c r="BI106" s="29"/>
      <c r="BJ106" s="30"/>
      <c r="BK106" s="172" t="s">
        <v>751</v>
      </c>
      <c r="BL106" s="29"/>
      <c r="BM106" s="29"/>
      <c r="BN106" s="30"/>
      <c r="BO106" s="55"/>
      <c r="BP106" s="29"/>
      <c r="BQ106" s="29"/>
      <c r="BR106" s="30"/>
      <c r="BS106" s="55"/>
      <c r="BT106" s="29"/>
      <c r="BU106" s="29"/>
      <c r="BV106" s="30"/>
      <c r="BW106" s="55"/>
      <c r="BX106" s="29"/>
      <c r="BY106" s="29"/>
      <c r="BZ106" s="30"/>
      <c r="CA106" s="31"/>
    </row>
    <row r="107" spans="1:79" hidden="1">
      <c r="A107" s="71" t="s">
        <v>1242</v>
      </c>
      <c r="B107" s="297"/>
      <c r="C107" s="307" t="s">
        <v>961</v>
      </c>
      <c r="D107" s="299" t="str">
        <f t="shared" si="24"/>
        <v xml:space="preserve"> 113</v>
      </c>
      <c r="E107" s="308" t="s">
        <v>961</v>
      </c>
      <c r="F107" s="301">
        <f t="shared" si="25"/>
        <v>0</v>
      </c>
      <c r="G107" s="302" t="s">
        <v>1063</v>
      </c>
      <c r="H107" s="302" t="s">
        <v>292</v>
      </c>
      <c r="I107" s="302" t="s">
        <v>1115</v>
      </c>
      <c r="J107" s="303">
        <v>70000</v>
      </c>
      <c r="K107" s="312">
        <f t="shared" si="29"/>
        <v>7500</v>
      </c>
      <c r="L107" s="301" t="s">
        <v>69</v>
      </c>
      <c r="M107" s="305">
        <f t="shared" si="28"/>
        <v>62500</v>
      </c>
      <c r="N107" s="316">
        <f t="shared" si="31"/>
        <v>7500</v>
      </c>
      <c r="O107" s="306">
        <f t="shared" si="30"/>
        <v>70000</v>
      </c>
      <c r="P107" s="294"/>
      <c r="Q107" s="292" t="s">
        <v>1178</v>
      </c>
      <c r="R107" s="22"/>
      <c r="S107" s="22">
        <f t="shared" si="19"/>
        <v>70000</v>
      </c>
      <c r="T107" s="22">
        <f t="shared" si="20"/>
        <v>100000</v>
      </c>
      <c r="U107" s="23">
        <f t="shared" si="21"/>
        <v>114285.71428571429</v>
      </c>
      <c r="V107" s="24">
        <f t="shared" si="22"/>
        <v>0.12500000000000003</v>
      </c>
      <c r="W107" s="23">
        <f t="shared" si="27"/>
        <v>114300</v>
      </c>
      <c r="X107" s="164">
        <f t="shared" si="23"/>
        <v>0.3</v>
      </c>
      <c r="Y107" s="254">
        <v>125143</v>
      </c>
      <c r="Z107" s="25">
        <f>T107-Y107</f>
        <v>-25143</v>
      </c>
      <c r="AA107" s="37">
        <f>Z107/Y107</f>
        <v>-0.20091415420758651</v>
      </c>
      <c r="AB107" s="34"/>
      <c r="AC107" s="164"/>
      <c r="AD107" s="35"/>
      <c r="AE107" s="36"/>
      <c r="AF107" s="29"/>
      <c r="AG107" s="29"/>
      <c r="AH107" s="30"/>
      <c r="AI107" s="172" t="s">
        <v>608</v>
      </c>
      <c r="AJ107" s="29"/>
      <c r="AK107" s="29"/>
      <c r="AL107" s="30"/>
      <c r="AM107" s="172" t="s">
        <v>608</v>
      </c>
      <c r="AN107" s="29"/>
      <c r="AO107" s="29"/>
      <c r="AP107" s="30"/>
      <c r="AQ107" s="172" t="s">
        <v>608</v>
      </c>
      <c r="AR107" s="29"/>
      <c r="AS107" s="29"/>
      <c r="AT107" s="30"/>
      <c r="AU107" s="172" t="s">
        <v>608</v>
      </c>
      <c r="AV107" s="29"/>
      <c r="AW107" s="29"/>
      <c r="AX107" s="30"/>
      <c r="AY107" s="55"/>
      <c r="AZ107" s="29"/>
      <c r="BA107" s="29"/>
      <c r="BB107" s="30"/>
      <c r="BC107" s="172" t="s">
        <v>751</v>
      </c>
      <c r="BD107" s="29"/>
      <c r="BE107" s="29"/>
      <c r="BF107" s="30"/>
      <c r="BG107" s="55"/>
      <c r="BH107" s="29"/>
      <c r="BI107" s="29"/>
      <c r="BJ107" s="30"/>
      <c r="BK107" s="172" t="s">
        <v>751</v>
      </c>
      <c r="BL107" s="29"/>
      <c r="BM107" s="29"/>
      <c r="BN107" s="30"/>
      <c r="BO107" s="55"/>
      <c r="BP107" s="29"/>
      <c r="BQ107" s="29"/>
      <c r="BR107" s="30"/>
      <c r="BS107" s="55"/>
      <c r="BT107" s="29"/>
      <c r="BU107" s="29"/>
      <c r="BV107" s="30"/>
      <c r="BW107" s="55"/>
      <c r="BX107" s="29"/>
      <c r="BY107" s="29"/>
      <c r="BZ107" s="30"/>
      <c r="CA107" s="31"/>
    </row>
    <row r="108" spans="1:79" hidden="1">
      <c r="A108" s="71" t="s">
        <v>1242</v>
      </c>
      <c r="B108" s="297"/>
      <c r="C108" s="307" t="s">
        <v>962</v>
      </c>
      <c r="D108" s="299" t="str">
        <f t="shared" si="24"/>
        <v xml:space="preserve"> 226</v>
      </c>
      <c r="E108" s="308" t="s">
        <v>962</v>
      </c>
      <c r="F108" s="301">
        <f t="shared" si="25"/>
        <v>0</v>
      </c>
      <c r="G108" s="302" t="s">
        <v>1063</v>
      </c>
      <c r="H108" s="302" t="s">
        <v>292</v>
      </c>
      <c r="I108" s="302" t="s">
        <v>1115</v>
      </c>
      <c r="J108" s="303">
        <v>70000</v>
      </c>
      <c r="K108" s="312">
        <f t="shared" si="29"/>
        <v>7500</v>
      </c>
      <c r="L108" s="301" t="s">
        <v>69</v>
      </c>
      <c r="M108" s="305">
        <f t="shared" si="28"/>
        <v>62500</v>
      </c>
      <c r="N108" s="316">
        <f t="shared" si="31"/>
        <v>7500</v>
      </c>
      <c r="O108" s="306">
        <f t="shared" si="30"/>
        <v>70000</v>
      </c>
      <c r="P108" s="294"/>
      <c r="Q108" s="292" t="s">
        <v>1178</v>
      </c>
      <c r="R108" s="22"/>
      <c r="S108" s="22">
        <f t="shared" si="19"/>
        <v>70000</v>
      </c>
      <c r="T108" s="22">
        <f t="shared" si="20"/>
        <v>100000</v>
      </c>
      <c r="U108" s="23">
        <f t="shared" si="21"/>
        <v>114285.71428571429</v>
      </c>
      <c r="V108" s="24">
        <f t="shared" si="22"/>
        <v>0.12500000000000003</v>
      </c>
      <c r="W108" s="23">
        <f t="shared" si="27"/>
        <v>114300</v>
      </c>
      <c r="X108" s="164">
        <f t="shared" si="23"/>
        <v>0.3</v>
      </c>
      <c r="Y108" s="25"/>
      <c r="Z108" s="25"/>
      <c r="AA108" s="25"/>
      <c r="AB108" s="34"/>
      <c r="AC108" s="164"/>
      <c r="AD108" s="42"/>
      <c r="AE108" s="43"/>
      <c r="AF108" s="29"/>
      <c r="AG108" s="29"/>
      <c r="AH108" s="30"/>
      <c r="AI108" s="172" t="s">
        <v>608</v>
      </c>
      <c r="AJ108" s="29"/>
      <c r="AK108" s="29"/>
      <c r="AL108" s="30"/>
      <c r="AM108" s="172" t="s">
        <v>608</v>
      </c>
      <c r="AN108" s="29"/>
      <c r="AO108" s="29"/>
      <c r="AP108" s="30"/>
      <c r="AQ108" s="172" t="s">
        <v>608</v>
      </c>
      <c r="AR108" s="29"/>
      <c r="AS108" s="29"/>
      <c r="AT108" s="30"/>
      <c r="AU108" s="172" t="s">
        <v>608</v>
      </c>
      <c r="AV108" s="29"/>
      <c r="AW108" s="29"/>
      <c r="AX108" s="30"/>
      <c r="AY108" s="55"/>
      <c r="AZ108" s="29"/>
      <c r="BA108" s="29"/>
      <c r="BB108" s="30"/>
      <c r="BC108" s="172" t="s">
        <v>751</v>
      </c>
      <c r="BD108" s="29"/>
      <c r="BE108" s="29"/>
      <c r="BF108" s="30"/>
      <c r="BG108" s="55"/>
      <c r="BH108" s="29"/>
      <c r="BI108" s="29"/>
      <c r="BJ108" s="30"/>
      <c r="BK108" s="172" t="s">
        <v>751</v>
      </c>
      <c r="BL108" s="29"/>
      <c r="BM108" s="29"/>
      <c r="BN108" s="30"/>
      <c r="BO108" s="55"/>
      <c r="BP108" s="29"/>
      <c r="BQ108" s="29"/>
      <c r="BR108" s="30"/>
      <c r="BS108" s="55"/>
      <c r="BT108" s="29"/>
      <c r="BU108" s="29"/>
      <c r="BV108" s="30"/>
      <c r="BW108" s="55"/>
      <c r="BX108" s="29"/>
      <c r="BY108" s="29"/>
      <c r="BZ108" s="30"/>
      <c r="CA108" s="31"/>
    </row>
    <row r="109" spans="1:79" hidden="1">
      <c r="A109" s="71" t="s">
        <v>1242</v>
      </c>
      <c r="B109" s="297"/>
      <c r="C109" s="307" t="s">
        <v>963</v>
      </c>
      <c r="D109" s="299" t="str">
        <f t="shared" si="24"/>
        <v xml:space="preserve"> 849</v>
      </c>
      <c r="E109" s="308" t="s">
        <v>963</v>
      </c>
      <c r="F109" s="301">
        <f t="shared" si="25"/>
        <v>0</v>
      </c>
      <c r="G109" s="302" t="s">
        <v>1063</v>
      </c>
      <c r="H109" s="302" t="s">
        <v>292</v>
      </c>
      <c r="I109" s="302" t="s">
        <v>1115</v>
      </c>
      <c r="J109" s="303">
        <v>70000</v>
      </c>
      <c r="K109" s="312">
        <f t="shared" si="29"/>
        <v>7500</v>
      </c>
      <c r="L109" s="301" t="s">
        <v>69</v>
      </c>
      <c r="M109" s="305">
        <f t="shared" si="28"/>
        <v>62500</v>
      </c>
      <c r="N109" s="316">
        <f t="shared" si="31"/>
        <v>7500</v>
      </c>
      <c r="O109" s="317">
        <f t="shared" si="30"/>
        <v>70000</v>
      </c>
      <c r="P109" s="296"/>
      <c r="Q109" s="292" t="s">
        <v>1178</v>
      </c>
      <c r="R109" s="22"/>
      <c r="S109" s="22">
        <f t="shared" si="19"/>
        <v>70000</v>
      </c>
      <c r="T109" s="22">
        <f t="shared" si="20"/>
        <v>100000</v>
      </c>
      <c r="U109" s="23">
        <f t="shared" si="21"/>
        <v>114285.71428571429</v>
      </c>
      <c r="V109" s="24">
        <f t="shared" si="22"/>
        <v>0.12500000000000003</v>
      </c>
      <c r="W109" s="23">
        <f t="shared" si="27"/>
        <v>114300</v>
      </c>
      <c r="X109" s="164">
        <f t="shared" si="23"/>
        <v>0.3</v>
      </c>
      <c r="Y109" s="188">
        <v>148571.42857142858</v>
      </c>
      <c r="Z109" s="188">
        <f>T109-Y109</f>
        <v>-48571.42857142858</v>
      </c>
      <c r="AA109" s="189">
        <f>Z109/Y109</f>
        <v>-0.32692307692307698</v>
      </c>
      <c r="AB109" s="34"/>
      <c r="AC109" s="164"/>
      <c r="AD109" s="42"/>
      <c r="AE109" s="43"/>
      <c r="AF109" s="29"/>
      <c r="AG109" s="29"/>
      <c r="AH109" s="30"/>
      <c r="AI109" s="55"/>
      <c r="AJ109" s="29"/>
      <c r="AK109" s="29"/>
      <c r="AL109" s="30"/>
      <c r="AM109" s="172" t="s">
        <v>608</v>
      </c>
      <c r="AN109" s="29"/>
      <c r="AO109" s="29"/>
      <c r="AP109" s="30"/>
      <c r="AQ109" s="172" t="s">
        <v>608</v>
      </c>
      <c r="AR109" s="29"/>
      <c r="AS109" s="172"/>
      <c r="AT109" s="30"/>
      <c r="AU109" s="172" t="s">
        <v>608</v>
      </c>
      <c r="AV109" s="29"/>
      <c r="AW109" s="29"/>
      <c r="AX109" s="30"/>
      <c r="AY109" s="55"/>
      <c r="AZ109" s="29"/>
      <c r="BA109" s="29"/>
      <c r="BB109" s="30"/>
      <c r="BC109" s="55"/>
      <c r="BD109" s="29"/>
      <c r="BE109" s="29"/>
      <c r="BF109" s="30"/>
      <c r="BG109" s="55"/>
      <c r="BH109" s="29"/>
      <c r="BI109" s="29"/>
      <c r="BJ109" s="30"/>
      <c r="BK109" s="55"/>
      <c r="BL109" s="29"/>
      <c r="BM109" s="29"/>
      <c r="BN109" s="30"/>
      <c r="BO109" s="55"/>
      <c r="BP109" s="29"/>
      <c r="BQ109" s="29"/>
      <c r="BR109" s="30"/>
      <c r="BS109" s="55"/>
      <c r="BT109" s="29"/>
      <c r="BU109" s="29"/>
      <c r="BV109" s="30"/>
      <c r="BW109" s="55"/>
      <c r="BX109" s="29"/>
      <c r="BY109" s="29"/>
      <c r="BZ109" s="30"/>
      <c r="CA109" s="31"/>
    </row>
    <row r="110" spans="1:79" hidden="1">
      <c r="A110" s="71" t="s">
        <v>1242</v>
      </c>
      <c r="B110" s="297"/>
      <c r="C110" s="307" t="s">
        <v>964</v>
      </c>
      <c r="D110" s="299" t="str">
        <f t="shared" si="24"/>
        <v xml:space="preserve"> 573</v>
      </c>
      <c r="E110" s="308" t="s">
        <v>964</v>
      </c>
      <c r="F110" s="301">
        <f t="shared" si="25"/>
        <v>0</v>
      </c>
      <c r="G110" s="302" t="s">
        <v>1063</v>
      </c>
      <c r="H110" s="302" t="s">
        <v>1083</v>
      </c>
      <c r="I110" s="302" t="s">
        <v>1116</v>
      </c>
      <c r="J110" s="303">
        <v>206000</v>
      </c>
      <c r="K110" s="312">
        <f t="shared" si="29"/>
        <v>6000</v>
      </c>
      <c r="L110" s="301" t="s">
        <v>69</v>
      </c>
      <c r="M110" s="305">
        <f t="shared" si="28"/>
        <v>200000</v>
      </c>
      <c r="N110" s="316">
        <f>2000+200+200+600+3000</f>
        <v>6000</v>
      </c>
      <c r="O110" s="317">
        <f t="shared" si="30"/>
        <v>206000</v>
      </c>
      <c r="P110" s="296"/>
      <c r="Q110" s="292" t="s">
        <v>1179</v>
      </c>
      <c r="R110" s="22"/>
      <c r="S110" s="22">
        <f t="shared" si="19"/>
        <v>206000</v>
      </c>
      <c r="T110" s="22">
        <f t="shared" si="20"/>
        <v>294285.71428571432</v>
      </c>
      <c r="U110" s="23">
        <f t="shared" si="21"/>
        <v>336326.53061224491</v>
      </c>
      <c r="V110" s="24">
        <f t="shared" si="22"/>
        <v>0.12499999999999993</v>
      </c>
      <c r="W110" s="23">
        <f t="shared" si="27"/>
        <v>336400</v>
      </c>
      <c r="X110" s="164">
        <f t="shared" si="23"/>
        <v>0.3000000000000001</v>
      </c>
      <c r="Y110" s="25"/>
      <c r="Z110" s="25"/>
      <c r="AA110" s="25"/>
      <c r="AB110" s="34"/>
      <c r="AC110" s="164"/>
      <c r="AD110" s="42"/>
      <c r="AE110" s="43"/>
      <c r="AF110" s="29"/>
      <c r="AG110" s="29"/>
      <c r="AH110" s="30"/>
      <c r="AI110" s="55"/>
      <c r="AJ110" s="29"/>
      <c r="AK110" s="29"/>
      <c r="AL110" s="30"/>
      <c r="AM110" s="172" t="s">
        <v>608</v>
      </c>
      <c r="AN110" s="29"/>
      <c r="AO110" s="29"/>
      <c r="AP110" s="30"/>
      <c r="AQ110" s="172" t="s">
        <v>608</v>
      </c>
      <c r="AR110" s="29"/>
      <c r="AS110" s="172"/>
      <c r="AT110" s="30"/>
      <c r="AU110" s="172" t="s">
        <v>608</v>
      </c>
      <c r="AV110" s="29"/>
      <c r="AW110" s="29"/>
      <c r="AX110" s="30"/>
      <c r="AY110" s="55"/>
      <c r="AZ110" s="29"/>
      <c r="BA110" s="29"/>
      <c r="BB110" s="30"/>
      <c r="BC110" s="55"/>
      <c r="BD110" s="29"/>
      <c r="BE110" s="29"/>
      <c r="BF110" s="30"/>
      <c r="BG110" s="55"/>
      <c r="BH110" s="29"/>
      <c r="BI110" s="29"/>
      <c r="BJ110" s="30"/>
      <c r="BK110" s="55"/>
      <c r="BL110" s="29"/>
      <c r="BM110" s="29"/>
      <c r="BN110" s="30"/>
      <c r="BO110" s="55"/>
      <c r="BP110" s="29"/>
      <c r="BQ110" s="29"/>
      <c r="BR110" s="30"/>
      <c r="BS110" s="55"/>
      <c r="BT110" s="29"/>
      <c r="BU110" s="29"/>
      <c r="BV110" s="30"/>
      <c r="BW110" s="55"/>
      <c r="BX110" s="29"/>
      <c r="BY110" s="29"/>
      <c r="BZ110" s="30"/>
      <c r="CA110" s="31"/>
    </row>
    <row r="111" spans="1:79" hidden="1">
      <c r="A111" s="71" t="s">
        <v>1242</v>
      </c>
      <c r="B111" s="297"/>
      <c r="C111" s="307" t="s">
        <v>965</v>
      </c>
      <c r="D111" s="299" t="str">
        <f t="shared" si="24"/>
        <v xml:space="preserve"> 902</v>
      </c>
      <c r="E111" s="308" t="s">
        <v>965</v>
      </c>
      <c r="F111" s="301">
        <f t="shared" si="25"/>
        <v>0</v>
      </c>
      <c r="G111" s="302" t="s">
        <v>1063</v>
      </c>
      <c r="H111" s="302" t="s">
        <v>1083</v>
      </c>
      <c r="I111" s="302" t="s">
        <v>1116</v>
      </c>
      <c r="J111" s="303">
        <v>244000</v>
      </c>
      <c r="K111" s="312">
        <f t="shared" si="29"/>
        <v>6000</v>
      </c>
      <c r="L111" s="301" t="s">
        <v>69</v>
      </c>
      <c r="M111" s="305">
        <f t="shared" si="28"/>
        <v>238000</v>
      </c>
      <c r="N111" s="316">
        <f t="shared" ref="N111:N114" si="32">2000+200+200+600+3000</f>
        <v>6000</v>
      </c>
      <c r="O111" s="306">
        <f t="shared" si="30"/>
        <v>244000</v>
      </c>
      <c r="P111" s="294"/>
      <c r="Q111" s="292" t="s">
        <v>1179</v>
      </c>
      <c r="R111" s="22"/>
      <c r="S111" s="22">
        <f t="shared" si="19"/>
        <v>244000</v>
      </c>
      <c r="T111" s="22">
        <f t="shared" si="20"/>
        <v>348571.42857142858</v>
      </c>
      <c r="U111" s="23">
        <f t="shared" si="21"/>
        <v>398367.3469387755</v>
      </c>
      <c r="V111" s="24">
        <f t="shared" si="22"/>
        <v>0.12499999999999996</v>
      </c>
      <c r="W111" s="23">
        <f t="shared" si="27"/>
        <v>398400</v>
      </c>
      <c r="X111" s="164">
        <f t="shared" si="23"/>
        <v>0.30000000000000004</v>
      </c>
      <c r="Y111" s="25"/>
      <c r="Z111" s="25"/>
      <c r="AA111" s="25"/>
      <c r="AB111" s="34"/>
      <c r="AC111" s="164"/>
      <c r="AD111" s="35"/>
      <c r="AE111" s="36"/>
      <c r="AF111" s="29"/>
      <c r="AG111" s="29"/>
      <c r="AH111" s="30"/>
      <c r="AI111" s="55"/>
      <c r="AJ111" s="29"/>
      <c r="AK111" s="29"/>
      <c r="AL111" s="30"/>
      <c r="AM111" s="172" t="s">
        <v>608</v>
      </c>
      <c r="AN111" s="29"/>
      <c r="AO111" s="29"/>
      <c r="AP111" s="30"/>
      <c r="AQ111" s="172" t="s">
        <v>608</v>
      </c>
      <c r="AR111" s="29"/>
      <c r="AS111" s="172"/>
      <c r="AT111" s="30"/>
      <c r="AU111" s="172" t="s">
        <v>608</v>
      </c>
      <c r="AV111" s="29"/>
      <c r="AW111" s="29"/>
      <c r="AX111" s="30"/>
      <c r="AY111" s="55"/>
      <c r="AZ111" s="29"/>
      <c r="BA111" s="29"/>
      <c r="BB111" s="30"/>
      <c r="BC111" s="55"/>
      <c r="BD111" s="29"/>
      <c r="BE111" s="29"/>
      <c r="BF111" s="30"/>
      <c r="BG111" s="55"/>
      <c r="BH111" s="29"/>
      <c r="BI111" s="29"/>
      <c r="BJ111" s="30"/>
      <c r="BK111" s="55"/>
      <c r="BL111" s="29"/>
      <c r="BM111" s="29"/>
      <c r="BN111" s="30"/>
      <c r="BO111" s="55"/>
      <c r="BP111" s="41">
        <v>119680</v>
      </c>
      <c r="BQ111" s="29"/>
      <c r="BR111" s="30"/>
      <c r="BS111" s="55"/>
      <c r="BT111" s="29"/>
      <c r="BU111" s="29"/>
      <c r="BV111" s="30"/>
      <c r="BW111" s="55"/>
      <c r="BX111" s="29"/>
      <c r="BY111" s="29"/>
      <c r="BZ111" s="30"/>
      <c r="CA111" s="31"/>
    </row>
    <row r="112" spans="1:79" hidden="1">
      <c r="A112" s="71" t="s">
        <v>1242</v>
      </c>
      <c r="B112" s="297"/>
      <c r="C112" s="307" t="s">
        <v>117</v>
      </c>
      <c r="D112" s="299" t="str">
        <f t="shared" si="24"/>
        <v xml:space="preserve"> 899</v>
      </c>
      <c r="E112" s="308" t="s">
        <v>117</v>
      </c>
      <c r="F112" s="301">
        <f t="shared" si="25"/>
        <v>0</v>
      </c>
      <c r="G112" s="302" t="s">
        <v>35</v>
      </c>
      <c r="H112" s="302" t="s">
        <v>1083</v>
      </c>
      <c r="I112" s="302" t="s">
        <v>1116</v>
      </c>
      <c r="J112" s="303">
        <v>140000</v>
      </c>
      <c r="K112" s="312">
        <f t="shared" si="29"/>
        <v>6000</v>
      </c>
      <c r="L112" s="301" t="s">
        <v>69</v>
      </c>
      <c r="M112" s="305">
        <f t="shared" si="28"/>
        <v>134000</v>
      </c>
      <c r="N112" s="316">
        <f t="shared" si="32"/>
        <v>6000</v>
      </c>
      <c r="O112" s="306">
        <f t="shared" si="30"/>
        <v>140000</v>
      </c>
      <c r="P112" s="294"/>
      <c r="Q112" s="292" t="s">
        <v>1179</v>
      </c>
      <c r="R112" s="22"/>
      <c r="S112" s="22">
        <f t="shared" si="19"/>
        <v>140000</v>
      </c>
      <c r="T112" s="22">
        <f t="shared" si="20"/>
        <v>200000</v>
      </c>
      <c r="U112" s="23">
        <f t="shared" si="21"/>
        <v>228571.42857142858</v>
      </c>
      <c r="V112" s="24">
        <f t="shared" si="22"/>
        <v>0.12500000000000003</v>
      </c>
      <c r="W112" s="23">
        <f t="shared" si="27"/>
        <v>228600</v>
      </c>
      <c r="X112" s="164">
        <f t="shared" si="23"/>
        <v>0.3</v>
      </c>
      <c r="Y112" s="188">
        <v>98571.42857142858</v>
      </c>
      <c r="Z112" s="188">
        <f>T112-Y112</f>
        <v>101428.57142857142</v>
      </c>
      <c r="AA112" s="189">
        <f>Z112/Y112</f>
        <v>1.0289855072463767</v>
      </c>
      <c r="AB112" s="34"/>
      <c r="AC112" s="164"/>
      <c r="AD112" s="35"/>
      <c r="AE112" s="36"/>
      <c r="AF112" s="29"/>
      <c r="AG112" s="29"/>
      <c r="AH112" s="30"/>
      <c r="AI112" s="55"/>
      <c r="AJ112" s="29"/>
      <c r="AK112" s="29"/>
      <c r="AL112" s="30"/>
      <c r="AM112" s="172" t="s">
        <v>608</v>
      </c>
      <c r="AN112" s="29"/>
      <c r="AO112" s="29"/>
      <c r="AP112" s="30"/>
      <c r="AQ112" s="172" t="s">
        <v>608</v>
      </c>
      <c r="AR112" s="29"/>
      <c r="AS112" s="172"/>
      <c r="AT112" s="30"/>
      <c r="AU112" s="172" t="s">
        <v>608</v>
      </c>
      <c r="AV112" s="29"/>
      <c r="AW112" s="29"/>
      <c r="AX112" s="30"/>
      <c r="AY112" s="55"/>
      <c r="AZ112" s="29"/>
      <c r="BA112" s="29"/>
      <c r="BB112" s="30"/>
      <c r="BC112" s="55"/>
      <c r="BD112" s="29"/>
      <c r="BE112" s="29"/>
      <c r="BF112" s="30"/>
      <c r="BG112" s="55"/>
      <c r="BH112" s="29"/>
      <c r="BI112" s="29"/>
      <c r="BJ112" s="30"/>
      <c r="BK112" s="55"/>
      <c r="BL112" s="29"/>
      <c r="BM112" s="29"/>
      <c r="BN112" s="30"/>
      <c r="BO112" s="55"/>
      <c r="BP112" s="29"/>
      <c r="BQ112" s="29"/>
      <c r="BR112" s="30"/>
      <c r="BS112" s="55"/>
      <c r="BT112" s="29"/>
      <c r="BU112" s="29"/>
      <c r="BV112" s="30"/>
      <c r="BW112" s="55"/>
      <c r="BX112" s="29"/>
      <c r="BY112" s="29"/>
      <c r="BZ112" s="30"/>
      <c r="CA112" s="31"/>
    </row>
    <row r="113" spans="1:79" hidden="1">
      <c r="A113" s="71" t="s">
        <v>1242</v>
      </c>
      <c r="B113" s="297"/>
      <c r="C113" s="307" t="s">
        <v>136</v>
      </c>
      <c r="D113" s="299" t="str">
        <f t="shared" si="24"/>
        <v xml:space="preserve"> 923</v>
      </c>
      <c r="E113" s="308" t="s">
        <v>136</v>
      </c>
      <c r="F113" s="301">
        <f t="shared" si="25"/>
        <v>0</v>
      </c>
      <c r="G113" s="302" t="s">
        <v>35</v>
      </c>
      <c r="H113" s="302" t="s">
        <v>1083</v>
      </c>
      <c r="I113" s="302" t="s">
        <v>1116</v>
      </c>
      <c r="J113" s="303">
        <v>90000</v>
      </c>
      <c r="K113" s="312">
        <f t="shared" si="29"/>
        <v>3750</v>
      </c>
      <c r="L113" s="301" t="s">
        <v>69</v>
      </c>
      <c r="M113" s="305">
        <f t="shared" si="28"/>
        <v>86250</v>
      </c>
      <c r="N113" s="316">
        <f>2000+200+200+600+750</f>
        <v>3750</v>
      </c>
      <c r="O113" s="306">
        <f t="shared" si="30"/>
        <v>90000</v>
      </c>
      <c r="P113" s="295"/>
      <c r="Q113" s="292" t="s">
        <v>1180</v>
      </c>
      <c r="R113" s="22"/>
      <c r="S113" s="22">
        <f t="shared" si="19"/>
        <v>90000</v>
      </c>
      <c r="T113" s="22">
        <f t="shared" si="20"/>
        <v>128571.42857142858</v>
      </c>
      <c r="U113" s="23">
        <f t="shared" si="21"/>
        <v>146938.77551020408</v>
      </c>
      <c r="V113" s="24">
        <f t="shared" si="22"/>
        <v>0.12499999999999994</v>
      </c>
      <c r="W113" s="23">
        <f t="shared" si="27"/>
        <v>147000</v>
      </c>
      <c r="X113" s="164">
        <f t="shared" si="23"/>
        <v>0.30000000000000004</v>
      </c>
      <c r="Y113" s="188">
        <v>134285.71428571429</v>
      </c>
      <c r="Z113" s="188">
        <f>T113-Y113</f>
        <v>-5714.2857142857101</v>
      </c>
      <c r="AA113" s="189">
        <f>Z113/Y113</f>
        <v>-4.2553191489361666E-2</v>
      </c>
      <c r="AB113" s="34"/>
      <c r="AC113" s="164"/>
      <c r="AD113" s="35"/>
      <c r="AE113" s="36"/>
      <c r="AF113" s="29"/>
      <c r="AG113" s="29"/>
      <c r="AH113" s="30"/>
      <c r="AI113" s="55"/>
      <c r="AJ113" s="29"/>
      <c r="AK113" s="29"/>
      <c r="AL113" s="30"/>
      <c r="AM113" s="172" t="s">
        <v>608</v>
      </c>
      <c r="AN113" s="29"/>
      <c r="AO113" s="29"/>
      <c r="AP113" s="30"/>
      <c r="AQ113" s="172" t="s">
        <v>608</v>
      </c>
      <c r="AR113" s="29"/>
      <c r="AS113" s="172"/>
      <c r="AT113" s="30"/>
      <c r="AU113" s="172" t="s">
        <v>608</v>
      </c>
      <c r="AV113" s="29"/>
      <c r="AW113" s="29"/>
      <c r="AX113" s="30"/>
      <c r="AY113" s="55"/>
      <c r="AZ113" s="29"/>
      <c r="BA113" s="29"/>
      <c r="BB113" s="30"/>
      <c r="BC113" s="55"/>
      <c r="BD113" s="29"/>
      <c r="BE113" s="29"/>
      <c r="BF113" s="30"/>
      <c r="BG113" s="55"/>
      <c r="BH113" s="29"/>
      <c r="BI113" s="29"/>
      <c r="BJ113" s="30"/>
      <c r="BK113" s="55"/>
      <c r="BL113" s="29"/>
      <c r="BM113" s="29"/>
      <c r="BN113" s="30"/>
      <c r="BO113" s="55"/>
      <c r="BP113" s="29"/>
      <c r="BQ113" s="29"/>
      <c r="BR113" s="30"/>
      <c r="BS113" s="55"/>
      <c r="BT113" s="29"/>
      <c r="BU113" s="29"/>
      <c r="BV113" s="30"/>
      <c r="BW113" s="55"/>
      <c r="BX113" s="29"/>
      <c r="BY113" s="29"/>
      <c r="BZ113" s="30"/>
      <c r="CA113" s="31"/>
    </row>
    <row r="114" spans="1:79" hidden="1">
      <c r="A114" s="71" t="s">
        <v>1242</v>
      </c>
      <c r="B114" s="297"/>
      <c r="C114" s="307" t="s">
        <v>966</v>
      </c>
      <c r="D114" s="299" t="str">
        <f t="shared" si="24"/>
        <v xml:space="preserve"> 666</v>
      </c>
      <c r="E114" s="308" t="s">
        <v>966</v>
      </c>
      <c r="F114" s="301">
        <f t="shared" si="25"/>
        <v>0</v>
      </c>
      <c r="G114" s="302" t="s">
        <v>1063</v>
      </c>
      <c r="H114" s="302" t="s">
        <v>1083</v>
      </c>
      <c r="I114" s="302" t="s">
        <v>1116</v>
      </c>
      <c r="J114" s="303">
        <v>214000</v>
      </c>
      <c r="K114" s="312">
        <f t="shared" si="29"/>
        <v>6000</v>
      </c>
      <c r="L114" s="301" t="s">
        <v>69</v>
      </c>
      <c r="M114" s="305">
        <f t="shared" si="28"/>
        <v>208000</v>
      </c>
      <c r="N114" s="316">
        <f t="shared" si="32"/>
        <v>6000</v>
      </c>
      <c r="O114" s="306">
        <f t="shared" si="30"/>
        <v>214000</v>
      </c>
      <c r="P114" s="294"/>
      <c r="Q114" s="292" t="s">
        <v>1179</v>
      </c>
      <c r="R114" s="22"/>
      <c r="S114" s="22">
        <f t="shared" si="19"/>
        <v>214000</v>
      </c>
      <c r="T114" s="22">
        <f t="shared" si="20"/>
        <v>305714.28571428574</v>
      </c>
      <c r="U114" s="23">
        <f t="shared" si="21"/>
        <v>349387.75510204083</v>
      </c>
      <c r="V114" s="24">
        <f t="shared" si="22"/>
        <v>0.12499999999999996</v>
      </c>
      <c r="W114" s="23">
        <f t="shared" si="27"/>
        <v>349400</v>
      </c>
      <c r="X114" s="164">
        <f t="shared" si="23"/>
        <v>0.30000000000000004</v>
      </c>
      <c r="Y114" s="25"/>
      <c r="Z114" s="25"/>
      <c r="AA114" s="25"/>
      <c r="AB114" s="34"/>
      <c r="AC114" s="164"/>
      <c r="AD114" s="35"/>
      <c r="AE114" s="36"/>
      <c r="AF114" s="29"/>
      <c r="AG114" s="29"/>
      <c r="AH114" s="30"/>
      <c r="AI114" s="172" t="s">
        <v>608</v>
      </c>
      <c r="AJ114" s="29"/>
      <c r="AK114" s="29"/>
      <c r="AL114" s="30"/>
      <c r="AM114" s="172" t="s">
        <v>608</v>
      </c>
      <c r="AN114" s="29"/>
      <c r="AO114" s="29"/>
      <c r="AP114" s="30"/>
      <c r="AQ114" s="172" t="s">
        <v>608</v>
      </c>
      <c r="AR114" s="29"/>
      <c r="AS114" s="29"/>
      <c r="AT114" s="30"/>
      <c r="AU114" s="172" t="s">
        <v>608</v>
      </c>
      <c r="AV114" s="29"/>
      <c r="AW114" s="29"/>
      <c r="AX114" s="30"/>
      <c r="AY114" s="55"/>
      <c r="AZ114" s="29"/>
      <c r="BA114" s="29"/>
      <c r="BB114" s="30"/>
      <c r="BC114" s="172" t="s">
        <v>751</v>
      </c>
      <c r="BD114" s="29"/>
      <c r="BE114" s="29"/>
      <c r="BF114" s="30"/>
      <c r="BG114" s="55"/>
      <c r="BH114" s="29"/>
      <c r="BI114" s="29"/>
      <c r="BJ114" s="30"/>
      <c r="BK114" s="172" t="s">
        <v>751</v>
      </c>
      <c r="BL114" s="29"/>
      <c r="BM114" s="29"/>
      <c r="BN114" s="30"/>
      <c r="BO114" s="55"/>
      <c r="BP114" s="29"/>
      <c r="BQ114" s="29"/>
      <c r="BR114" s="30"/>
      <c r="BS114" s="55"/>
      <c r="BT114" s="29"/>
      <c r="BU114" s="29"/>
      <c r="BV114" s="30"/>
      <c r="BW114" s="55"/>
      <c r="BX114" s="29"/>
      <c r="BY114" s="29"/>
      <c r="BZ114" s="30"/>
      <c r="CA114" s="31"/>
    </row>
    <row r="115" spans="1:79" hidden="1">
      <c r="B115" s="297"/>
      <c r="C115" s="307" t="s">
        <v>1243</v>
      </c>
      <c r="D115" s="299" t="str">
        <f t="shared" si="24"/>
        <v xml:space="preserve"> 832</v>
      </c>
      <c r="E115" s="309" t="s">
        <v>1243</v>
      </c>
      <c r="F115" s="301">
        <f t="shared" si="25"/>
        <v>0</v>
      </c>
      <c r="G115" s="302" t="s">
        <v>1063</v>
      </c>
      <c r="H115" s="302" t="s">
        <v>1083</v>
      </c>
      <c r="I115" s="302" t="s">
        <v>1116</v>
      </c>
      <c r="J115" s="303"/>
      <c r="K115" s="312"/>
      <c r="L115" s="301"/>
      <c r="M115" s="305"/>
      <c r="N115" s="316"/>
      <c r="O115" s="306"/>
      <c r="P115" s="294"/>
      <c r="Q115" s="292"/>
      <c r="R115" s="22"/>
      <c r="S115" s="22"/>
      <c r="T115" s="22"/>
      <c r="U115" s="23"/>
      <c r="V115" s="24"/>
      <c r="W115" s="23"/>
      <c r="X115" s="164"/>
      <c r="Y115" s="25"/>
      <c r="Z115" s="25"/>
      <c r="AA115" s="25"/>
      <c r="AB115" s="34"/>
      <c r="AC115" s="164"/>
      <c r="AD115" s="35"/>
      <c r="AE115" s="36"/>
      <c r="AF115" s="29"/>
      <c r="AG115" s="29"/>
      <c r="AH115" s="30"/>
      <c r="AI115" s="172"/>
      <c r="AJ115" s="29"/>
      <c r="AK115" s="29"/>
      <c r="AL115" s="30"/>
      <c r="AM115" s="172"/>
      <c r="AN115" s="29"/>
      <c r="AO115" s="29"/>
      <c r="AP115" s="30"/>
      <c r="AQ115" s="172"/>
      <c r="AR115" s="29"/>
      <c r="AS115" s="29"/>
      <c r="AT115" s="30"/>
      <c r="AU115" s="172"/>
      <c r="AV115" s="29"/>
      <c r="AW115" s="29"/>
      <c r="AX115" s="30"/>
      <c r="AY115" s="55"/>
      <c r="AZ115" s="29"/>
      <c r="BA115" s="29"/>
      <c r="BB115" s="30"/>
      <c r="BC115" s="172"/>
      <c r="BD115" s="29"/>
      <c r="BE115" s="29"/>
      <c r="BF115" s="30"/>
      <c r="BG115" s="55"/>
      <c r="BH115" s="29"/>
      <c r="BI115" s="29"/>
      <c r="BJ115" s="30"/>
      <c r="BK115" s="172"/>
      <c r="BL115" s="29"/>
      <c r="BM115" s="29"/>
      <c r="BN115" s="30"/>
      <c r="BO115" s="55"/>
      <c r="BP115" s="29"/>
      <c r="BQ115" s="29"/>
      <c r="BR115" s="30"/>
      <c r="BS115" s="55"/>
      <c r="BT115" s="29"/>
      <c r="BU115" s="29"/>
      <c r="BV115" s="30"/>
      <c r="BW115" s="55"/>
      <c r="BX115" s="29"/>
      <c r="BY115" s="29"/>
      <c r="BZ115" s="30"/>
      <c r="CA115" s="31"/>
    </row>
    <row r="116" spans="1:79" hidden="1">
      <c r="B116" s="297"/>
      <c r="C116" s="307" t="s">
        <v>454</v>
      </c>
      <c r="D116" s="299" t="str">
        <f t="shared" si="24"/>
        <v xml:space="preserve"> 192</v>
      </c>
      <c r="E116" s="308" t="s">
        <v>454</v>
      </c>
      <c r="F116" s="301">
        <f t="shared" si="25"/>
        <v>0</v>
      </c>
      <c r="G116" s="302" t="s">
        <v>35</v>
      </c>
      <c r="H116" s="302" t="s">
        <v>1074</v>
      </c>
      <c r="I116" s="302" t="s">
        <v>1117</v>
      </c>
      <c r="J116" s="303">
        <v>29000</v>
      </c>
      <c r="K116" s="312">
        <f t="shared" si="29"/>
        <v>4450</v>
      </c>
      <c r="L116" s="301" t="s">
        <v>69</v>
      </c>
      <c r="M116" s="305">
        <f t="shared" si="28"/>
        <v>24550</v>
      </c>
      <c r="N116" s="316">
        <v>4450</v>
      </c>
      <c r="O116" s="306">
        <f t="shared" si="30"/>
        <v>29000</v>
      </c>
      <c r="P116" s="294"/>
      <c r="Q116" s="292" t="s">
        <v>1181</v>
      </c>
      <c r="R116" s="22"/>
      <c r="S116" s="22">
        <f t="shared" si="19"/>
        <v>29000</v>
      </c>
      <c r="T116" s="22">
        <f t="shared" si="20"/>
        <v>41428.571428571435</v>
      </c>
      <c r="U116" s="23">
        <f t="shared" si="21"/>
        <v>47346.938775510214</v>
      </c>
      <c r="V116" s="24">
        <f t="shared" si="22"/>
        <v>0.12500000000000006</v>
      </c>
      <c r="W116" s="23">
        <f t="shared" si="27"/>
        <v>47400</v>
      </c>
      <c r="X116" s="164">
        <f t="shared" si="23"/>
        <v>0.3000000000000001</v>
      </c>
      <c r="Y116" s="25"/>
      <c r="Z116" s="25"/>
      <c r="AA116" s="25"/>
      <c r="AB116" s="39" t="s">
        <v>81</v>
      </c>
      <c r="AC116" s="167">
        <f>AVERAGE(X116,X44,X25,X13,X15,X10,X8,X7,X6,X5)</f>
        <v>0.3</v>
      </c>
      <c r="AD116" s="207">
        <f>AVERAGE(T116,T25,T15,T13,T10,T44,T7,T8,T6,T5)</f>
        <v>107807.14285714287</v>
      </c>
      <c r="AE116" s="28">
        <f>AVERAGE(AI116,AM116,AQ116,AU116,BC116,BK116,BO116,BS116,BW116)</f>
        <v>90530.666666666672</v>
      </c>
      <c r="AF116" s="180">
        <v>80901.78571428571</v>
      </c>
      <c r="AG116" s="180"/>
      <c r="AH116" s="21">
        <f>(AD116-AF116)/AF116</f>
        <v>0.33256814921090411</v>
      </c>
      <c r="AI116" s="246">
        <v>95156</v>
      </c>
      <c r="AJ116" s="184">
        <f>61345/0.7</f>
        <v>87635.71428571429</v>
      </c>
      <c r="AK116" s="184">
        <v>61143</v>
      </c>
      <c r="AL116" s="21">
        <f>(AI116-AJ116)/AJ116</f>
        <v>8.5813024696389226E-2</v>
      </c>
      <c r="AM116" s="44">
        <v>91288</v>
      </c>
      <c r="AN116" s="184">
        <f>63839/0.7</f>
        <v>91198.571428571435</v>
      </c>
      <c r="AO116" s="184">
        <v>88407</v>
      </c>
      <c r="AP116" s="21">
        <f>(AM116-AN116)/AN116</f>
        <v>9.8059180124995121E-4</v>
      </c>
      <c r="AQ116" s="44">
        <v>90844</v>
      </c>
      <c r="AR116" s="184">
        <f>57212/0.7</f>
        <v>81731.42857142858</v>
      </c>
      <c r="AS116" s="184">
        <v>81731</v>
      </c>
      <c r="AT116" s="21">
        <f>(AQ116-AR116)/AR116</f>
        <v>0.1114940921485002</v>
      </c>
      <c r="AU116" s="44">
        <v>92430</v>
      </c>
      <c r="AV116" s="184">
        <f>58590/0.7</f>
        <v>83700</v>
      </c>
      <c r="AW116" s="184">
        <v>82650</v>
      </c>
      <c r="AX116" s="21">
        <f>(AU116-AV116)/AV116</f>
        <v>0.1043010752688172</v>
      </c>
      <c r="AY116" s="57"/>
      <c r="AZ116" s="29"/>
      <c r="BA116" s="29"/>
      <c r="BB116" s="30"/>
      <c r="BC116" s="247">
        <v>81466</v>
      </c>
      <c r="BD116" s="184">
        <v>75681</v>
      </c>
      <c r="BE116" s="184">
        <v>76167</v>
      </c>
      <c r="BF116" s="21">
        <f>(BC116-BD116)/BD116</f>
        <v>7.6439264808868798E-2</v>
      </c>
      <c r="BG116" s="57"/>
      <c r="BH116" s="29"/>
      <c r="BI116" s="29"/>
      <c r="BJ116" s="30"/>
      <c r="BK116" s="44">
        <v>92000</v>
      </c>
      <c r="BL116" s="184">
        <f>51100/0.7</f>
        <v>73000</v>
      </c>
      <c r="BM116" s="184">
        <v>79429</v>
      </c>
      <c r="BN116" s="21">
        <f>(BK116-BL116)/BL116</f>
        <v>0.26027397260273971</v>
      </c>
      <c r="BO116" s="57"/>
      <c r="BP116" s="184">
        <f>60881/0.7</f>
        <v>86972.857142857145</v>
      </c>
      <c r="BQ116" s="53"/>
      <c r="BR116" s="21">
        <f>(BO116-BP116)/BP116</f>
        <v>-1</v>
      </c>
      <c r="BS116" s="55"/>
      <c r="BT116" s="29"/>
      <c r="BU116" s="29"/>
      <c r="BV116" s="30"/>
      <c r="BW116" s="55"/>
      <c r="BX116" s="29"/>
      <c r="BY116" s="29"/>
      <c r="BZ116" s="30"/>
      <c r="CA116" s="31"/>
    </row>
    <row r="117" spans="1:79" hidden="1">
      <c r="B117" s="297"/>
      <c r="C117" s="307" t="s">
        <v>967</v>
      </c>
      <c r="D117" s="299" t="str">
        <f t="shared" si="24"/>
        <v xml:space="preserve"> 454</v>
      </c>
      <c r="E117" s="308" t="s">
        <v>967</v>
      </c>
      <c r="F117" s="301">
        <f t="shared" si="25"/>
        <v>0</v>
      </c>
      <c r="G117" s="302" t="s">
        <v>1063</v>
      </c>
      <c r="H117" s="302" t="s">
        <v>1074</v>
      </c>
      <c r="I117" s="302" t="s">
        <v>1117</v>
      </c>
      <c r="J117" s="303">
        <v>29000</v>
      </c>
      <c r="K117" s="312">
        <f t="shared" si="29"/>
        <v>4450</v>
      </c>
      <c r="L117" s="301" t="s">
        <v>69</v>
      </c>
      <c r="M117" s="305">
        <f t="shared" si="28"/>
        <v>24550</v>
      </c>
      <c r="N117" s="316">
        <v>4450</v>
      </c>
      <c r="O117" s="306">
        <f t="shared" si="30"/>
        <v>29000</v>
      </c>
      <c r="P117" s="294"/>
      <c r="Q117" s="292" t="s">
        <v>1181</v>
      </c>
      <c r="R117" s="22"/>
      <c r="S117" s="22">
        <f t="shared" si="19"/>
        <v>29000</v>
      </c>
      <c r="T117" s="22">
        <f t="shared" si="20"/>
        <v>41428.571428571435</v>
      </c>
      <c r="U117" s="23">
        <f t="shared" si="21"/>
        <v>47346.938775510214</v>
      </c>
      <c r="V117" s="24">
        <f t="shared" si="22"/>
        <v>0.12500000000000006</v>
      </c>
      <c r="W117" s="23">
        <f t="shared" si="27"/>
        <v>47400</v>
      </c>
      <c r="X117" s="164">
        <f t="shared" si="23"/>
        <v>0.3000000000000001</v>
      </c>
      <c r="Y117" s="25"/>
      <c r="Z117" s="25"/>
      <c r="AA117" s="25"/>
      <c r="AB117" s="34"/>
      <c r="AC117" s="164"/>
      <c r="AD117" s="35"/>
      <c r="AE117" s="36"/>
      <c r="AF117" s="29"/>
      <c r="AG117" s="29"/>
      <c r="AH117" s="30"/>
      <c r="AI117" s="172" t="s">
        <v>608</v>
      </c>
      <c r="AJ117" s="29"/>
      <c r="AK117" s="29"/>
      <c r="AL117" s="30"/>
      <c r="AM117" s="172" t="s">
        <v>608</v>
      </c>
      <c r="AN117" s="29"/>
      <c r="AO117" s="29"/>
      <c r="AP117" s="30"/>
      <c r="AQ117" s="172" t="s">
        <v>608</v>
      </c>
      <c r="AR117" s="29"/>
      <c r="AS117" s="29"/>
      <c r="AT117" s="30"/>
      <c r="AU117" s="172" t="s">
        <v>608</v>
      </c>
      <c r="AV117" s="29"/>
      <c r="AW117" s="29"/>
      <c r="AX117" s="30"/>
      <c r="AY117" s="55"/>
      <c r="AZ117" s="29"/>
      <c r="BA117" s="29"/>
      <c r="BB117" s="30"/>
      <c r="BC117" s="172" t="s">
        <v>751</v>
      </c>
      <c r="BD117" s="29"/>
      <c r="BE117" s="29"/>
      <c r="BF117" s="30"/>
      <c r="BG117" s="55"/>
      <c r="BH117" s="29"/>
      <c r="BI117" s="29"/>
      <c r="BJ117" s="30"/>
      <c r="BK117" s="172" t="s">
        <v>751</v>
      </c>
      <c r="BL117" s="29"/>
      <c r="BM117" s="29"/>
      <c r="BN117" s="30"/>
      <c r="BO117" s="55"/>
      <c r="BP117" s="29"/>
      <c r="BQ117" s="29"/>
      <c r="BR117" s="30"/>
      <c r="BS117" s="55"/>
      <c r="BT117" s="29"/>
      <c r="BU117" s="29"/>
      <c r="BV117" s="30"/>
      <c r="BW117" s="55"/>
      <c r="BX117" s="29"/>
      <c r="BY117" s="29"/>
      <c r="BZ117" s="30"/>
      <c r="CA117" s="31"/>
    </row>
    <row r="118" spans="1:79" hidden="1">
      <c r="B118" s="297"/>
      <c r="C118" s="307" t="s">
        <v>968</v>
      </c>
      <c r="D118" s="299" t="str">
        <f t="shared" si="24"/>
        <v xml:space="preserve"> 710</v>
      </c>
      <c r="E118" s="308" t="s">
        <v>968</v>
      </c>
      <c r="F118" s="301">
        <f t="shared" si="25"/>
        <v>0</v>
      </c>
      <c r="G118" s="302" t="s">
        <v>1063</v>
      </c>
      <c r="H118" s="302" t="s">
        <v>1074</v>
      </c>
      <c r="I118" s="302" t="s">
        <v>1117</v>
      </c>
      <c r="J118" s="303">
        <v>30000</v>
      </c>
      <c r="K118" s="312">
        <f t="shared" si="29"/>
        <v>4450</v>
      </c>
      <c r="L118" s="301" t="s">
        <v>69</v>
      </c>
      <c r="M118" s="305">
        <f t="shared" si="28"/>
        <v>25550</v>
      </c>
      <c r="N118" s="316">
        <v>4450</v>
      </c>
      <c r="O118" s="306">
        <f t="shared" si="30"/>
        <v>30000</v>
      </c>
      <c r="P118" s="294"/>
      <c r="Q118" s="292" t="s">
        <v>1181</v>
      </c>
      <c r="R118" s="22"/>
      <c r="S118" s="22">
        <f t="shared" si="19"/>
        <v>30000</v>
      </c>
      <c r="T118" s="22">
        <f t="shared" si="20"/>
        <v>42857.142857142862</v>
      </c>
      <c r="U118" s="23">
        <f t="shared" si="21"/>
        <v>48979.591836734697</v>
      </c>
      <c r="V118" s="24">
        <f t="shared" si="22"/>
        <v>0.12499999999999994</v>
      </c>
      <c r="W118" s="23">
        <f t="shared" si="27"/>
        <v>49000</v>
      </c>
      <c r="X118" s="164">
        <f t="shared" si="23"/>
        <v>0.3000000000000001</v>
      </c>
      <c r="Y118" s="25"/>
      <c r="Z118" s="25"/>
      <c r="AA118" s="37"/>
      <c r="AB118" s="26"/>
      <c r="AC118" s="164"/>
      <c r="AD118" s="35"/>
      <c r="AE118" s="36"/>
      <c r="AF118" s="29"/>
      <c r="AG118" s="29"/>
      <c r="AH118" s="30"/>
      <c r="AI118" s="55"/>
      <c r="AJ118" s="29"/>
      <c r="AK118" s="29"/>
      <c r="AL118" s="30"/>
      <c r="AM118" s="172" t="s">
        <v>608</v>
      </c>
      <c r="AN118" s="29"/>
      <c r="AO118" s="29"/>
      <c r="AP118" s="30"/>
      <c r="AQ118" s="172" t="s">
        <v>608</v>
      </c>
      <c r="AR118" s="29"/>
      <c r="AS118" s="172"/>
      <c r="AT118" s="30"/>
      <c r="AU118" s="172" t="s">
        <v>608</v>
      </c>
      <c r="AV118" s="29"/>
      <c r="AW118" s="29"/>
      <c r="AX118" s="30"/>
      <c r="AY118" s="55"/>
      <c r="AZ118" s="29"/>
      <c r="BA118" s="29"/>
      <c r="BB118" s="30"/>
      <c r="BC118" s="55"/>
      <c r="BD118" s="29"/>
      <c r="BE118" s="29"/>
      <c r="BF118" s="30"/>
      <c r="BG118" s="55"/>
      <c r="BH118" s="29"/>
      <c r="BI118" s="29"/>
      <c r="BJ118" s="30"/>
      <c r="BK118" s="55"/>
      <c r="BL118" s="29"/>
      <c r="BM118" s="29"/>
      <c r="BN118" s="30"/>
      <c r="BO118" s="55"/>
      <c r="BP118" s="29"/>
      <c r="BQ118" s="29"/>
      <c r="BR118" s="30"/>
      <c r="BS118" s="55"/>
      <c r="BT118" s="29"/>
      <c r="BU118" s="29"/>
      <c r="BV118" s="30"/>
      <c r="BW118" s="55"/>
      <c r="BX118" s="29"/>
      <c r="BY118" s="29"/>
      <c r="BZ118" s="30"/>
      <c r="CA118" s="31"/>
    </row>
    <row r="119" spans="1:79" hidden="1">
      <c r="B119" s="297"/>
      <c r="C119" s="307" t="s">
        <v>454</v>
      </c>
      <c r="D119" s="299" t="str">
        <f t="shared" si="24"/>
        <v xml:space="preserve"> 192</v>
      </c>
      <c r="E119" s="308" t="s">
        <v>454</v>
      </c>
      <c r="F119" s="301">
        <f t="shared" si="25"/>
        <v>0</v>
      </c>
      <c r="G119" s="302" t="s">
        <v>1063</v>
      </c>
      <c r="H119" s="302" t="s">
        <v>1074</v>
      </c>
      <c r="I119" s="302" t="s">
        <v>1117</v>
      </c>
      <c r="J119" s="303">
        <v>29000</v>
      </c>
      <c r="K119" s="312">
        <f t="shared" si="29"/>
        <v>4450</v>
      </c>
      <c r="L119" s="301" t="s">
        <v>69</v>
      </c>
      <c r="M119" s="305">
        <f t="shared" si="28"/>
        <v>24550</v>
      </c>
      <c r="N119" s="316">
        <v>4450</v>
      </c>
      <c r="O119" s="306">
        <f t="shared" si="30"/>
        <v>29000</v>
      </c>
      <c r="P119" s="294"/>
      <c r="Q119" s="292" t="s">
        <v>1181</v>
      </c>
      <c r="R119" s="22"/>
      <c r="S119" s="22">
        <f t="shared" si="19"/>
        <v>29000</v>
      </c>
      <c r="T119" s="22">
        <f t="shared" si="20"/>
        <v>41428.571428571435</v>
      </c>
      <c r="U119" s="23">
        <f t="shared" si="21"/>
        <v>47346.938775510214</v>
      </c>
      <c r="V119" s="24">
        <f t="shared" si="22"/>
        <v>0.12500000000000006</v>
      </c>
      <c r="W119" s="23">
        <f t="shared" si="27"/>
        <v>47400</v>
      </c>
      <c r="X119" s="164">
        <f t="shared" si="23"/>
        <v>0.3000000000000001</v>
      </c>
      <c r="Y119" s="25"/>
      <c r="Z119" s="25"/>
      <c r="AA119" s="25"/>
      <c r="AB119" s="26"/>
      <c r="AC119" s="164"/>
      <c r="AD119" s="35"/>
      <c r="AE119" s="36"/>
      <c r="AF119" s="29"/>
      <c r="AG119" s="29"/>
      <c r="AH119" s="30"/>
      <c r="AI119" s="172" t="s">
        <v>608</v>
      </c>
      <c r="AJ119" s="29"/>
      <c r="AK119" s="29"/>
      <c r="AL119" s="30"/>
      <c r="AM119" s="55"/>
      <c r="AN119" s="29"/>
      <c r="AO119" s="29"/>
      <c r="AP119" s="30"/>
      <c r="AQ119" s="172" t="s">
        <v>608</v>
      </c>
      <c r="AR119" s="29"/>
      <c r="AS119" s="29"/>
      <c r="AT119" s="30"/>
      <c r="AU119" s="172" t="s">
        <v>608</v>
      </c>
      <c r="AV119" s="29"/>
      <c r="AW119" s="29"/>
      <c r="AX119" s="30"/>
      <c r="AY119" s="55"/>
      <c r="AZ119" s="29"/>
      <c r="BA119" s="29"/>
      <c r="BB119" s="30"/>
      <c r="BC119" s="172" t="s">
        <v>751</v>
      </c>
      <c r="BD119" s="29"/>
      <c r="BE119" s="29"/>
      <c r="BF119" s="30"/>
      <c r="BG119" s="55"/>
      <c r="BH119" s="29"/>
      <c r="BI119" s="29"/>
      <c r="BJ119" s="30"/>
      <c r="BK119" s="172" t="s">
        <v>751</v>
      </c>
      <c r="BL119" s="29"/>
      <c r="BM119" s="29"/>
      <c r="BN119" s="30"/>
      <c r="BO119" s="55"/>
      <c r="BP119" s="29"/>
      <c r="BQ119" s="29"/>
      <c r="BR119" s="30"/>
      <c r="BS119" s="55"/>
      <c r="BT119" s="29"/>
      <c r="BU119" s="29"/>
      <c r="BV119" s="30"/>
      <c r="BW119" s="55"/>
      <c r="BX119" s="29"/>
      <c r="BY119" s="29"/>
      <c r="BZ119" s="30"/>
      <c r="CA119" s="31"/>
    </row>
    <row r="120" spans="1:79" hidden="1">
      <c r="B120" s="297"/>
      <c r="C120" s="307" t="s">
        <v>969</v>
      </c>
      <c r="D120" s="299" t="str">
        <f t="shared" si="24"/>
        <v>/SLN</v>
      </c>
      <c r="E120" s="308" t="s">
        <v>969</v>
      </c>
      <c r="F120" s="301">
        <f t="shared" si="25"/>
        <v>0</v>
      </c>
      <c r="G120" s="302" t="s">
        <v>1063</v>
      </c>
      <c r="H120" s="302" t="s">
        <v>1074</v>
      </c>
      <c r="I120" s="302" t="s">
        <v>1117</v>
      </c>
      <c r="J120" s="303">
        <v>32500</v>
      </c>
      <c r="K120" s="312">
        <f t="shared" si="29"/>
        <v>4800</v>
      </c>
      <c r="L120" s="301" t="s">
        <v>69</v>
      </c>
      <c r="M120" s="305">
        <f t="shared" si="28"/>
        <v>27700</v>
      </c>
      <c r="N120" s="316">
        <v>4800</v>
      </c>
      <c r="O120" s="306">
        <f t="shared" si="30"/>
        <v>32500</v>
      </c>
      <c r="P120" s="294"/>
      <c r="Q120" s="292" t="s">
        <v>1182</v>
      </c>
      <c r="R120" s="22"/>
      <c r="S120" s="22">
        <f t="shared" si="19"/>
        <v>32500</v>
      </c>
      <c r="T120" s="22">
        <f t="shared" si="20"/>
        <v>46428.571428571435</v>
      </c>
      <c r="U120" s="23">
        <f t="shared" si="21"/>
        <v>53061.224489795924</v>
      </c>
      <c r="V120" s="24">
        <f t="shared" si="22"/>
        <v>0.12499999999999999</v>
      </c>
      <c r="W120" s="23">
        <f t="shared" si="27"/>
        <v>53100</v>
      </c>
      <c r="X120" s="164">
        <f t="shared" si="23"/>
        <v>0.3000000000000001</v>
      </c>
      <c r="Y120" s="25"/>
      <c r="Z120" s="25"/>
      <c r="AA120" s="37"/>
      <c r="AB120" s="26"/>
      <c r="AC120" s="164"/>
      <c r="AD120" s="35"/>
      <c r="AE120" s="36"/>
      <c r="AF120" s="29"/>
      <c r="AG120" s="29"/>
      <c r="AH120" s="30"/>
      <c r="AI120" s="172" t="s">
        <v>608</v>
      </c>
      <c r="AJ120" s="29"/>
      <c r="AK120" s="29"/>
      <c r="AL120" s="30"/>
      <c r="AM120" s="172" t="s">
        <v>608</v>
      </c>
      <c r="AN120" s="29"/>
      <c r="AO120" s="29"/>
      <c r="AP120" s="30"/>
      <c r="AQ120" s="172" t="s">
        <v>608</v>
      </c>
      <c r="AR120" s="29"/>
      <c r="AS120" s="29"/>
      <c r="AT120" s="30"/>
      <c r="AU120" s="172" t="s">
        <v>608</v>
      </c>
      <c r="AV120" s="29"/>
      <c r="AW120" s="29"/>
      <c r="AX120" s="30"/>
      <c r="AY120" s="55"/>
      <c r="AZ120" s="29"/>
      <c r="BA120" s="29"/>
      <c r="BB120" s="30"/>
      <c r="BC120" s="172" t="s">
        <v>751</v>
      </c>
      <c r="BD120" s="29"/>
      <c r="BE120" s="29"/>
      <c r="BF120" s="30"/>
      <c r="BG120" s="55"/>
      <c r="BH120" s="29"/>
      <c r="BI120" s="29"/>
      <c r="BJ120" s="30"/>
      <c r="BK120" s="172" t="s">
        <v>751</v>
      </c>
      <c r="BL120" s="29"/>
      <c r="BM120" s="29"/>
      <c r="BN120" s="30"/>
      <c r="BO120" s="55"/>
      <c r="BP120" s="29"/>
      <c r="BQ120" s="29"/>
      <c r="BR120" s="30"/>
      <c r="BS120" s="55"/>
      <c r="BT120" s="29"/>
      <c r="BU120" s="29"/>
      <c r="BV120" s="30"/>
      <c r="BW120" s="55"/>
      <c r="BX120" s="29"/>
      <c r="BY120" s="29"/>
      <c r="BZ120" s="30"/>
      <c r="CA120" s="31"/>
    </row>
    <row r="121" spans="1:79" hidden="1">
      <c r="B121" s="297"/>
      <c r="C121" s="307" t="s">
        <v>969</v>
      </c>
      <c r="D121" s="299" t="str">
        <f t="shared" si="24"/>
        <v>/SLN</v>
      </c>
      <c r="E121" s="308" t="s">
        <v>969</v>
      </c>
      <c r="F121" s="301">
        <f t="shared" si="25"/>
        <v>0</v>
      </c>
      <c r="G121" s="302" t="s">
        <v>1063</v>
      </c>
      <c r="H121" s="302" t="s">
        <v>1074</v>
      </c>
      <c r="I121" s="302" t="s">
        <v>1117</v>
      </c>
      <c r="J121" s="303">
        <v>29000</v>
      </c>
      <c r="K121" s="312">
        <f t="shared" si="29"/>
        <v>4450</v>
      </c>
      <c r="L121" s="301" t="s">
        <v>69</v>
      </c>
      <c r="M121" s="305">
        <f t="shared" si="28"/>
        <v>24550</v>
      </c>
      <c r="N121" s="316">
        <v>4450</v>
      </c>
      <c r="O121" s="306">
        <f t="shared" si="30"/>
        <v>29000</v>
      </c>
      <c r="P121" s="294"/>
      <c r="Q121" s="292" t="s">
        <v>1181</v>
      </c>
      <c r="R121" s="22"/>
      <c r="S121" s="22">
        <f t="shared" si="19"/>
        <v>29000</v>
      </c>
      <c r="T121" s="22">
        <f t="shared" si="20"/>
        <v>41428.571428571435</v>
      </c>
      <c r="U121" s="23">
        <f t="shared" si="21"/>
        <v>47346.938775510214</v>
      </c>
      <c r="V121" s="24">
        <f t="shared" si="22"/>
        <v>0.12500000000000006</v>
      </c>
      <c r="W121" s="23">
        <f t="shared" si="27"/>
        <v>47400</v>
      </c>
      <c r="X121" s="164">
        <f t="shared" si="23"/>
        <v>0.3000000000000001</v>
      </c>
      <c r="Y121" s="25"/>
      <c r="Z121" s="25"/>
      <c r="AA121" s="37"/>
      <c r="AB121" s="26"/>
      <c r="AC121" s="164"/>
      <c r="AD121" s="35"/>
      <c r="AE121" s="36"/>
      <c r="AF121" s="29"/>
      <c r="AG121" s="29"/>
      <c r="AH121" s="30"/>
      <c r="AI121" s="55"/>
      <c r="AJ121" s="29"/>
      <c r="AK121" s="29"/>
      <c r="AL121" s="30"/>
      <c r="AM121" s="172" t="s">
        <v>608</v>
      </c>
      <c r="AN121" s="29"/>
      <c r="AO121" s="29"/>
      <c r="AP121" s="30"/>
      <c r="AQ121" s="172" t="s">
        <v>608</v>
      </c>
      <c r="AR121" s="29"/>
      <c r="AS121" s="172"/>
      <c r="AT121" s="30"/>
      <c r="AU121" s="172" t="s">
        <v>608</v>
      </c>
      <c r="AV121" s="29"/>
      <c r="AW121" s="29"/>
      <c r="AX121" s="30"/>
      <c r="AY121" s="55"/>
      <c r="AZ121" s="29"/>
      <c r="BA121" s="29"/>
      <c r="BB121" s="30"/>
      <c r="BC121" s="55"/>
      <c r="BD121" s="29"/>
      <c r="BE121" s="29"/>
      <c r="BF121" s="30"/>
      <c r="BG121" s="55"/>
      <c r="BH121" s="29"/>
      <c r="BI121" s="29"/>
      <c r="BJ121" s="30"/>
      <c r="BK121" s="55"/>
      <c r="BL121" s="29"/>
      <c r="BM121" s="29"/>
      <c r="BN121" s="30"/>
      <c r="BO121" s="55"/>
      <c r="BP121" s="29"/>
      <c r="BQ121" s="29"/>
      <c r="BR121" s="30"/>
      <c r="BS121" s="55"/>
      <c r="BT121" s="29"/>
      <c r="BU121" s="29"/>
      <c r="BV121" s="30"/>
      <c r="BW121" s="55"/>
      <c r="BX121" s="29"/>
      <c r="BY121" s="29"/>
      <c r="BZ121" s="30"/>
      <c r="CA121" s="31"/>
    </row>
    <row r="122" spans="1:79" hidden="1">
      <c r="B122" s="297"/>
      <c r="C122" s="307" t="s">
        <v>970</v>
      </c>
      <c r="D122" s="299" t="str">
        <f t="shared" si="24"/>
        <v xml:space="preserve"> 665</v>
      </c>
      <c r="E122" s="308" t="s">
        <v>970</v>
      </c>
      <c r="F122" s="301">
        <f t="shared" si="25"/>
        <v>0</v>
      </c>
      <c r="G122" s="302" t="s">
        <v>1063</v>
      </c>
      <c r="H122" s="302" t="s">
        <v>1074</v>
      </c>
      <c r="I122" s="302" t="s">
        <v>1117</v>
      </c>
      <c r="J122" s="303">
        <v>29000</v>
      </c>
      <c r="K122" s="312">
        <f t="shared" si="29"/>
        <v>4450</v>
      </c>
      <c r="L122" s="301" t="s">
        <v>69</v>
      </c>
      <c r="M122" s="305">
        <f t="shared" si="28"/>
        <v>24550</v>
      </c>
      <c r="N122" s="316">
        <v>4450</v>
      </c>
      <c r="O122" s="306">
        <f t="shared" si="30"/>
        <v>29000</v>
      </c>
      <c r="P122" s="294"/>
      <c r="Q122" s="292" t="s">
        <v>1181</v>
      </c>
      <c r="R122" s="22"/>
      <c r="S122" s="22">
        <f t="shared" si="19"/>
        <v>29000</v>
      </c>
      <c r="T122" s="22">
        <f t="shared" si="20"/>
        <v>41428.571428571435</v>
      </c>
      <c r="U122" s="23">
        <f t="shared" si="21"/>
        <v>47346.938775510214</v>
      </c>
      <c r="V122" s="24">
        <f t="shared" si="22"/>
        <v>0.12500000000000006</v>
      </c>
      <c r="W122" s="23">
        <f t="shared" si="27"/>
        <v>47400</v>
      </c>
      <c r="X122" s="164">
        <f t="shared" si="23"/>
        <v>0.3000000000000001</v>
      </c>
      <c r="Y122" s="25"/>
      <c r="Z122" s="25"/>
      <c r="AA122" s="25"/>
      <c r="AB122" s="34" t="s">
        <v>168</v>
      </c>
      <c r="AC122" s="26">
        <f>AVERAGE(X122,X120,X117,X114,X108,X107,X106,X104,X103,X103,X102,X101,X100)</f>
        <v>0.3000000000000001</v>
      </c>
      <c r="AD122" s="46">
        <f>AVERAGE(T122,T120,T117,T114,T108,T107,T106,T104,T103,T102,T101,T100)</f>
        <v>118392.85714285716</v>
      </c>
      <c r="AE122" s="28">
        <f>AVERAGE(AI122,AM122,AQ122,AU122,BC122,BK122,BO122,BS122,BW122)</f>
        <v>125187.5</v>
      </c>
      <c r="AF122" s="180">
        <v>122031.74603174604</v>
      </c>
      <c r="AG122" s="181">
        <v>121122</v>
      </c>
      <c r="AH122" s="21">
        <f>(AD122-AF122)/AF122</f>
        <v>-2.9819198751300621E-2</v>
      </c>
      <c r="AI122" s="41">
        <v>101272</v>
      </c>
      <c r="AJ122" s="181">
        <f>73185/0.7</f>
        <v>104550</v>
      </c>
      <c r="AK122" s="181">
        <v>101320</v>
      </c>
      <c r="AL122" s="21"/>
      <c r="AM122" s="59">
        <v>108229</v>
      </c>
      <c r="AN122" s="181">
        <f>78204/0.7</f>
        <v>111720</v>
      </c>
      <c r="AO122" s="181">
        <v>105486</v>
      </c>
      <c r="AP122" s="30"/>
      <c r="AQ122" s="44">
        <v>122580</v>
      </c>
      <c r="AR122" s="181">
        <f>83360/0.7</f>
        <v>119085.71428571429</v>
      </c>
      <c r="AS122" s="181">
        <v>119070</v>
      </c>
      <c r="AT122" s="30"/>
      <c r="AU122" s="44">
        <v>131400</v>
      </c>
      <c r="AV122" s="181">
        <f>86580/0.7</f>
        <v>123685.71428571429</v>
      </c>
      <c r="AW122" s="181">
        <v>126000</v>
      </c>
      <c r="AX122" s="30"/>
      <c r="AY122" s="55"/>
      <c r="AZ122" s="29"/>
      <c r="BA122" s="29"/>
      <c r="BB122" s="30"/>
      <c r="BC122" s="44">
        <v>126444</v>
      </c>
      <c r="BD122" s="181">
        <v>127643</v>
      </c>
      <c r="BE122" s="181">
        <v>105486</v>
      </c>
      <c r="BF122" s="30"/>
      <c r="BG122" s="55"/>
      <c r="BH122" s="29"/>
      <c r="BI122" s="29"/>
      <c r="BJ122" s="30"/>
      <c r="BK122" s="44">
        <v>161200</v>
      </c>
      <c r="BL122" s="29"/>
      <c r="BM122" s="181">
        <v>132500</v>
      </c>
      <c r="BN122" s="30"/>
      <c r="BO122" s="55"/>
      <c r="BP122" s="181">
        <f>82621/0.7</f>
        <v>118030.00000000001</v>
      </c>
      <c r="BQ122" s="181">
        <v>113609</v>
      </c>
      <c r="BR122" s="30"/>
      <c r="BS122" s="55"/>
      <c r="BT122" s="29"/>
      <c r="BU122" s="29"/>
      <c r="BV122" s="30"/>
      <c r="BW122" s="55"/>
      <c r="BX122" s="29"/>
      <c r="BY122" s="29"/>
      <c r="BZ122" s="30"/>
      <c r="CA122" s="31"/>
    </row>
    <row r="123" spans="1:79" hidden="1">
      <c r="B123" s="297"/>
      <c r="C123" s="307" t="s">
        <v>971</v>
      </c>
      <c r="D123" s="299" t="str">
        <f t="shared" si="24"/>
        <v xml:space="preserve"> 599</v>
      </c>
      <c r="E123" s="308" t="s">
        <v>971</v>
      </c>
      <c r="F123" s="301">
        <f t="shared" si="25"/>
        <v>0</v>
      </c>
      <c r="G123" s="302" t="s">
        <v>1063</v>
      </c>
      <c r="H123" s="302" t="s">
        <v>1074</v>
      </c>
      <c r="I123" s="302" t="s">
        <v>1117</v>
      </c>
      <c r="J123" s="303">
        <v>32500</v>
      </c>
      <c r="K123" s="312">
        <f t="shared" si="29"/>
        <v>4800</v>
      </c>
      <c r="L123" s="301" t="s">
        <v>69</v>
      </c>
      <c r="M123" s="305">
        <f t="shared" si="28"/>
        <v>27700</v>
      </c>
      <c r="N123" s="316">
        <v>4800</v>
      </c>
      <c r="O123" s="306">
        <f t="shared" si="30"/>
        <v>32500</v>
      </c>
      <c r="P123" s="294"/>
      <c r="Q123" s="292" t="s">
        <v>1182</v>
      </c>
      <c r="R123" s="22"/>
      <c r="S123" s="22">
        <f t="shared" si="19"/>
        <v>32500</v>
      </c>
      <c r="T123" s="22">
        <f t="shared" si="20"/>
        <v>46428.571428571435</v>
      </c>
      <c r="U123" s="23">
        <f t="shared" si="21"/>
        <v>53061.224489795924</v>
      </c>
      <c r="V123" s="24">
        <f t="shared" si="22"/>
        <v>0.12499999999999999</v>
      </c>
      <c r="W123" s="23">
        <f t="shared" si="27"/>
        <v>53100</v>
      </c>
      <c r="X123" s="164">
        <f t="shared" si="23"/>
        <v>0.3000000000000001</v>
      </c>
      <c r="Y123" s="25"/>
      <c r="Z123" s="25"/>
      <c r="AA123" s="25"/>
      <c r="AB123" s="34"/>
      <c r="AC123" s="164"/>
      <c r="AD123" s="35"/>
      <c r="AE123" s="36"/>
      <c r="AF123" s="29"/>
      <c r="AG123" s="29"/>
      <c r="AH123" s="30"/>
      <c r="AI123" s="55"/>
      <c r="AJ123" s="29"/>
      <c r="AK123" s="29"/>
      <c r="AL123" s="30"/>
      <c r="AM123" s="172" t="s">
        <v>608</v>
      </c>
      <c r="AN123" s="29"/>
      <c r="AO123" s="29"/>
      <c r="AP123" s="30"/>
      <c r="AQ123" s="172" t="s">
        <v>608</v>
      </c>
      <c r="AR123" s="29"/>
      <c r="AS123" s="172"/>
      <c r="AT123" s="30"/>
      <c r="AU123" s="172" t="s">
        <v>608</v>
      </c>
      <c r="AV123" s="29"/>
      <c r="AW123" s="29"/>
      <c r="AX123" s="30"/>
      <c r="AY123" s="55"/>
      <c r="AZ123" s="29"/>
      <c r="BA123" s="29"/>
      <c r="BB123" s="30"/>
      <c r="BC123" s="55"/>
      <c r="BD123" s="29"/>
      <c r="BE123" s="29"/>
      <c r="BF123" s="30"/>
      <c r="BG123" s="55"/>
      <c r="BH123" s="29"/>
      <c r="BI123" s="29"/>
      <c r="BJ123" s="30"/>
      <c r="BK123" s="55"/>
      <c r="BL123" s="29"/>
      <c r="BM123" s="29"/>
      <c r="BN123" s="30"/>
      <c r="BO123" s="55"/>
      <c r="BP123" s="29"/>
      <c r="BQ123" s="29"/>
      <c r="BR123" s="30"/>
      <c r="BS123" s="55"/>
      <c r="BT123" s="29"/>
      <c r="BU123" s="29"/>
      <c r="BV123" s="30"/>
      <c r="BW123" s="55"/>
      <c r="BX123" s="29"/>
      <c r="BY123" s="29"/>
      <c r="BZ123" s="30"/>
      <c r="CA123" s="31"/>
    </row>
    <row r="124" spans="1:79" hidden="1">
      <c r="B124" s="297"/>
      <c r="C124" s="307" t="s">
        <v>972</v>
      </c>
      <c r="D124" s="299" t="str">
        <f t="shared" si="24"/>
        <v xml:space="preserve"> 564</v>
      </c>
      <c r="E124" s="308" t="s">
        <v>972</v>
      </c>
      <c r="F124" s="301">
        <f t="shared" si="25"/>
        <v>0</v>
      </c>
      <c r="G124" s="302" t="s">
        <v>1063</v>
      </c>
      <c r="H124" s="302" t="s">
        <v>1074</v>
      </c>
      <c r="I124" s="302" t="s">
        <v>1117</v>
      </c>
      <c r="J124" s="303">
        <v>32500</v>
      </c>
      <c r="K124" s="312">
        <f t="shared" si="29"/>
        <v>4800</v>
      </c>
      <c r="L124" s="301" t="s">
        <v>69</v>
      </c>
      <c r="M124" s="305">
        <f t="shared" si="28"/>
        <v>27700</v>
      </c>
      <c r="N124" s="316">
        <v>4800</v>
      </c>
      <c r="O124" s="306">
        <f t="shared" si="30"/>
        <v>32500</v>
      </c>
      <c r="P124" s="294"/>
      <c r="Q124" s="292" t="s">
        <v>1182</v>
      </c>
      <c r="R124" s="22"/>
      <c r="S124" s="22">
        <f t="shared" si="19"/>
        <v>32500</v>
      </c>
      <c r="T124" s="22">
        <f t="shared" si="20"/>
        <v>46428.571428571435</v>
      </c>
      <c r="U124" s="23">
        <f t="shared" si="21"/>
        <v>53061.224489795924</v>
      </c>
      <c r="V124" s="24">
        <f t="shared" si="22"/>
        <v>0.12499999999999999</v>
      </c>
      <c r="W124" s="23">
        <f t="shared" si="27"/>
        <v>53100</v>
      </c>
      <c r="X124" s="164">
        <f t="shared" si="23"/>
        <v>0.3000000000000001</v>
      </c>
      <c r="Y124" s="25"/>
      <c r="Z124" s="25"/>
      <c r="AA124" s="37"/>
      <c r="AB124" s="26"/>
      <c r="AC124" s="26"/>
      <c r="AD124" s="35"/>
      <c r="AE124" s="36"/>
      <c r="AF124" s="29"/>
      <c r="AG124" s="29"/>
      <c r="AH124" s="30"/>
      <c r="AI124" s="172" t="s">
        <v>608</v>
      </c>
      <c r="AJ124" s="29"/>
      <c r="AK124" s="29"/>
      <c r="AL124" s="30"/>
      <c r="AM124" s="55"/>
      <c r="AN124" s="29"/>
      <c r="AO124" s="29"/>
      <c r="AP124" s="30"/>
      <c r="AQ124" s="172" t="s">
        <v>608</v>
      </c>
      <c r="AR124" s="29"/>
      <c r="AS124" s="29"/>
      <c r="AT124" s="30"/>
      <c r="AU124" s="172" t="s">
        <v>608</v>
      </c>
      <c r="AV124" s="29"/>
      <c r="AW124" s="29"/>
      <c r="AX124" s="30"/>
      <c r="AY124" s="55"/>
      <c r="AZ124" s="29"/>
      <c r="BA124" s="29"/>
      <c r="BB124" s="30"/>
      <c r="BC124" s="172" t="s">
        <v>751</v>
      </c>
      <c r="BD124" s="29"/>
      <c r="BE124" s="29"/>
      <c r="BF124" s="30"/>
      <c r="BG124" s="55"/>
      <c r="BH124" s="29"/>
      <c r="BI124" s="29"/>
      <c r="BJ124" s="30"/>
      <c r="BK124" s="172" t="s">
        <v>751</v>
      </c>
      <c r="BL124" s="29"/>
      <c r="BM124" s="29"/>
      <c r="BN124" s="30"/>
      <c r="BO124" s="55"/>
      <c r="BP124" s="29"/>
      <c r="BQ124" s="29"/>
      <c r="BR124" s="30"/>
      <c r="BS124" s="55"/>
      <c r="BT124" s="29"/>
      <c r="BU124" s="29"/>
      <c r="BV124" s="30"/>
      <c r="BW124" s="55"/>
      <c r="BX124" s="29"/>
      <c r="BY124" s="29"/>
      <c r="BZ124" s="30"/>
      <c r="CA124" s="31"/>
    </row>
    <row r="125" spans="1:79" hidden="1">
      <c r="B125" s="297"/>
      <c r="C125" s="307" t="s">
        <v>969</v>
      </c>
      <c r="D125" s="299" t="str">
        <f t="shared" si="24"/>
        <v>/SLN</v>
      </c>
      <c r="E125" s="308" t="s">
        <v>969</v>
      </c>
      <c r="F125" s="301">
        <f t="shared" si="25"/>
        <v>0</v>
      </c>
      <c r="G125" s="302" t="s">
        <v>1063</v>
      </c>
      <c r="H125" s="302" t="s">
        <v>1074</v>
      </c>
      <c r="I125" s="302" t="s">
        <v>1117</v>
      </c>
      <c r="J125" s="303">
        <v>29000</v>
      </c>
      <c r="K125" s="312">
        <f t="shared" si="29"/>
        <v>4450</v>
      </c>
      <c r="L125" s="301" t="s">
        <v>69</v>
      </c>
      <c r="M125" s="305">
        <f t="shared" si="28"/>
        <v>24550</v>
      </c>
      <c r="N125" s="316">
        <v>4450</v>
      </c>
      <c r="O125" s="306">
        <f t="shared" si="30"/>
        <v>29000</v>
      </c>
      <c r="P125" s="294"/>
      <c r="Q125" s="292" t="s">
        <v>1181</v>
      </c>
      <c r="R125" s="22"/>
      <c r="S125" s="22">
        <f t="shared" si="19"/>
        <v>29000</v>
      </c>
      <c r="T125" s="22">
        <f t="shared" si="20"/>
        <v>41428.571428571435</v>
      </c>
      <c r="U125" s="23">
        <f t="shared" si="21"/>
        <v>47346.938775510214</v>
      </c>
      <c r="V125" s="24">
        <f t="shared" si="22"/>
        <v>0.12500000000000006</v>
      </c>
      <c r="W125" s="23">
        <f t="shared" si="27"/>
        <v>47400</v>
      </c>
      <c r="X125" s="164">
        <f t="shared" si="23"/>
        <v>0.3000000000000001</v>
      </c>
      <c r="Y125" s="25"/>
      <c r="Z125" s="25"/>
      <c r="AA125" s="37"/>
      <c r="AB125" s="26"/>
      <c r="AC125" s="164"/>
      <c r="AD125" s="35"/>
      <c r="AE125" s="36"/>
      <c r="AF125" s="29"/>
      <c r="AG125" s="29"/>
      <c r="AH125" s="30"/>
      <c r="AI125" s="172" t="s">
        <v>608</v>
      </c>
      <c r="AJ125" s="29"/>
      <c r="AK125" s="29"/>
      <c r="AL125" s="30"/>
      <c r="AM125" s="172" t="s">
        <v>608</v>
      </c>
      <c r="AN125" s="29"/>
      <c r="AO125" s="29"/>
      <c r="AP125" s="30"/>
      <c r="AQ125" s="30"/>
      <c r="AR125" s="29"/>
      <c r="AS125" s="29"/>
      <c r="AT125" s="30"/>
      <c r="AU125" s="55"/>
      <c r="AV125" s="29"/>
      <c r="AW125" s="29"/>
      <c r="AX125" s="30"/>
      <c r="AY125" s="55"/>
      <c r="AZ125" s="29"/>
      <c r="BA125" s="29"/>
      <c r="BB125" s="30"/>
      <c r="BC125" s="172" t="s">
        <v>608</v>
      </c>
      <c r="BD125" s="29"/>
      <c r="BE125" s="29"/>
      <c r="BF125" s="30"/>
      <c r="BG125" s="55"/>
      <c r="BH125" s="29"/>
      <c r="BI125" s="29"/>
      <c r="BJ125" s="30"/>
      <c r="BK125" s="172" t="s">
        <v>608</v>
      </c>
      <c r="BL125" s="29"/>
      <c r="BM125" s="29"/>
      <c r="BN125" s="30"/>
      <c r="BO125" s="55"/>
      <c r="BP125" s="29"/>
      <c r="BQ125" s="29"/>
      <c r="BR125" s="30"/>
      <c r="BS125" s="55"/>
      <c r="BT125" s="29"/>
      <c r="BU125" s="29"/>
      <c r="BV125" s="30"/>
      <c r="BW125" s="55"/>
      <c r="BX125" s="29"/>
      <c r="BY125" s="29"/>
      <c r="BZ125" s="30"/>
      <c r="CA125" s="31"/>
    </row>
    <row r="126" spans="1:79" hidden="1">
      <c r="B126" s="297"/>
      <c r="C126" s="307" t="s">
        <v>969</v>
      </c>
      <c r="D126" s="299" t="str">
        <f t="shared" si="24"/>
        <v>/SLN</v>
      </c>
      <c r="E126" s="308" t="s">
        <v>969</v>
      </c>
      <c r="F126" s="301">
        <f t="shared" si="25"/>
        <v>0</v>
      </c>
      <c r="G126" s="302" t="s">
        <v>1063</v>
      </c>
      <c r="H126" s="302" t="s">
        <v>1074</v>
      </c>
      <c r="I126" s="302" t="s">
        <v>1117</v>
      </c>
      <c r="J126" s="303">
        <v>29000</v>
      </c>
      <c r="K126" s="312">
        <f t="shared" si="29"/>
        <v>4450</v>
      </c>
      <c r="L126" s="301" t="s">
        <v>69</v>
      </c>
      <c r="M126" s="305">
        <f t="shared" si="28"/>
        <v>24550</v>
      </c>
      <c r="N126" s="316">
        <v>4450</v>
      </c>
      <c r="O126" s="306">
        <f t="shared" si="30"/>
        <v>29000</v>
      </c>
      <c r="P126" s="294"/>
      <c r="Q126" s="292" t="s">
        <v>1181</v>
      </c>
      <c r="R126" s="22"/>
      <c r="S126" s="22">
        <f t="shared" si="19"/>
        <v>29000</v>
      </c>
      <c r="T126" s="22">
        <f t="shared" si="20"/>
        <v>41428.571428571435</v>
      </c>
      <c r="U126" s="23">
        <f t="shared" si="21"/>
        <v>47346.938775510214</v>
      </c>
      <c r="V126" s="24">
        <f t="shared" si="22"/>
        <v>0.12500000000000006</v>
      </c>
      <c r="W126" s="23">
        <f t="shared" si="27"/>
        <v>47400</v>
      </c>
      <c r="X126" s="164">
        <f t="shared" si="23"/>
        <v>0.3000000000000001</v>
      </c>
      <c r="Y126" s="25"/>
      <c r="Z126" s="25"/>
      <c r="AA126" s="25"/>
      <c r="AB126" s="34" t="s">
        <v>161</v>
      </c>
      <c r="AC126" s="164">
        <f>X126</f>
        <v>0.3000000000000001</v>
      </c>
      <c r="AD126" s="46">
        <f>T126</f>
        <v>41428.571428571435</v>
      </c>
      <c r="AE126" s="28">
        <f>AVERAGE(AI126,AM126,AQ126,AU126,BC126,BK126,BO126,BS126,BW126)</f>
        <v>76807</v>
      </c>
      <c r="AF126" s="180">
        <v>103000</v>
      </c>
      <c r="AG126" s="181">
        <v>90714</v>
      </c>
      <c r="AH126" s="21">
        <f>(AD126-AF126)/AF126</f>
        <v>-0.5977808599167822</v>
      </c>
      <c r="AI126" s="41">
        <v>76807</v>
      </c>
      <c r="AJ126" s="180">
        <f>54086/0.7</f>
        <v>77265.71428571429</v>
      </c>
      <c r="AK126" s="180">
        <v>90213</v>
      </c>
      <c r="AL126" s="21">
        <f>(AI126-AJ126)/AJ126</f>
        <v>-5.9368413267759292E-3</v>
      </c>
      <c r="AM126" s="55"/>
      <c r="AN126" s="180">
        <f>70009/0.7</f>
        <v>100012.85714285714</v>
      </c>
      <c r="AO126" s="180">
        <v>107100</v>
      </c>
      <c r="AP126" s="30"/>
      <c r="AQ126" s="30"/>
      <c r="AR126" s="29"/>
      <c r="AS126" s="29"/>
      <c r="AT126" s="30"/>
      <c r="AU126" s="55"/>
      <c r="AV126" s="180">
        <f>73710/0.7</f>
        <v>105300</v>
      </c>
      <c r="AW126" s="180">
        <v>110475</v>
      </c>
      <c r="AX126" s="21">
        <f>(AU126-AV126)/AV126</f>
        <v>-1</v>
      </c>
      <c r="AY126" s="55"/>
      <c r="AZ126" s="29"/>
      <c r="BA126" s="29"/>
      <c r="BB126" s="30"/>
      <c r="BC126" s="55"/>
      <c r="BD126" s="29"/>
      <c r="BE126" s="29"/>
      <c r="BF126" s="30"/>
      <c r="BG126" s="55"/>
      <c r="BH126" s="29"/>
      <c r="BI126" s="29"/>
      <c r="BJ126" s="30"/>
      <c r="BK126" s="55"/>
      <c r="BL126" s="29"/>
      <c r="BM126" s="29"/>
      <c r="BN126" s="30"/>
      <c r="BO126" s="55"/>
      <c r="BP126" s="29"/>
      <c r="BQ126" s="29"/>
      <c r="BR126" s="30"/>
      <c r="BS126" s="55"/>
      <c r="BT126" s="29"/>
      <c r="BU126" s="29"/>
      <c r="BV126" s="30"/>
      <c r="BW126" s="55"/>
      <c r="BX126" s="29"/>
      <c r="BY126" s="29"/>
      <c r="BZ126" s="30"/>
      <c r="CA126" s="31"/>
    </row>
    <row r="127" spans="1:79" hidden="1">
      <c r="B127" s="297"/>
      <c r="C127" s="307" t="s">
        <v>973</v>
      </c>
      <c r="D127" s="299" t="str">
        <f t="shared" si="24"/>
        <v xml:space="preserve"> 719</v>
      </c>
      <c r="E127" s="308" t="s">
        <v>973</v>
      </c>
      <c r="F127" s="301">
        <f t="shared" si="25"/>
        <v>0</v>
      </c>
      <c r="G127" s="302" t="s">
        <v>1063</v>
      </c>
      <c r="H127" s="302" t="s">
        <v>1074</v>
      </c>
      <c r="I127" s="302" t="s">
        <v>1117</v>
      </c>
      <c r="J127" s="303">
        <v>29000</v>
      </c>
      <c r="K127" s="312">
        <f t="shared" si="29"/>
        <v>4450</v>
      </c>
      <c r="L127" s="301" t="s">
        <v>69</v>
      </c>
      <c r="M127" s="305">
        <f t="shared" si="28"/>
        <v>24550</v>
      </c>
      <c r="N127" s="316">
        <v>4450</v>
      </c>
      <c r="O127" s="306">
        <f t="shared" si="30"/>
        <v>29000</v>
      </c>
      <c r="P127" s="294"/>
      <c r="Q127" s="292" t="s">
        <v>1181</v>
      </c>
      <c r="R127" s="22"/>
      <c r="S127" s="22">
        <f t="shared" si="19"/>
        <v>29000</v>
      </c>
      <c r="T127" s="22">
        <f t="shared" si="20"/>
        <v>41428.571428571435</v>
      </c>
      <c r="U127" s="23">
        <f t="shared" si="21"/>
        <v>47346.938775510214</v>
      </c>
      <c r="V127" s="24">
        <f t="shared" si="22"/>
        <v>0.12500000000000006</v>
      </c>
      <c r="W127" s="23">
        <f t="shared" si="27"/>
        <v>47400</v>
      </c>
      <c r="X127" s="164">
        <f t="shared" si="23"/>
        <v>0.3000000000000001</v>
      </c>
      <c r="Y127" s="25"/>
      <c r="Z127" s="25"/>
      <c r="AA127" s="25"/>
      <c r="AB127" s="34" t="s">
        <v>163</v>
      </c>
      <c r="AC127" s="164">
        <f>AVERAGE(X127,X123,X121,X118,X113,X112,X111,X110,X109)</f>
        <v>0.30000000000000004</v>
      </c>
      <c r="AD127" s="46">
        <f>AVERAGE(T109,T110,T111,T112,T113,T118,T121,T123,T127)</f>
        <v>138174.60317460319</v>
      </c>
      <c r="AE127" s="28">
        <f>AVERAGE(AI127,AM127,AQ127,AU127,BC127,BK127,BO127,BS127,BW127)</f>
        <v>137455</v>
      </c>
      <c r="AF127" s="180">
        <v>125035.71428571429</v>
      </c>
      <c r="AG127" s="180"/>
      <c r="AH127" s="21">
        <f>(AD127-AF127)/AF127</f>
        <v>0.10508108794312748</v>
      </c>
      <c r="AI127" s="55"/>
      <c r="AJ127" s="180">
        <v>105825</v>
      </c>
      <c r="AK127" s="29"/>
      <c r="AL127" s="30"/>
      <c r="AM127" s="44">
        <v>155190</v>
      </c>
      <c r="AN127" s="180">
        <v>118773</v>
      </c>
      <c r="AO127" s="29"/>
      <c r="AP127" s="30"/>
      <c r="AQ127" s="44">
        <v>136125</v>
      </c>
      <c r="AR127" s="29"/>
      <c r="AS127" s="175"/>
      <c r="AT127" s="30"/>
      <c r="AU127" s="59">
        <v>121050</v>
      </c>
      <c r="AV127" s="29"/>
      <c r="AW127" s="29"/>
      <c r="AX127" s="30"/>
      <c r="AY127" s="55"/>
      <c r="AZ127" s="29"/>
      <c r="BA127" s="29"/>
      <c r="BB127" s="30"/>
      <c r="BC127" s="55"/>
      <c r="BD127" s="180">
        <v>116640</v>
      </c>
      <c r="BE127" s="29"/>
      <c r="BF127" s="30"/>
      <c r="BG127" s="55"/>
      <c r="BH127" s="29"/>
      <c r="BI127" s="29"/>
      <c r="BJ127" s="30"/>
      <c r="BK127" s="55"/>
      <c r="BL127" s="29"/>
      <c r="BM127" s="29"/>
      <c r="BN127" s="30"/>
      <c r="BO127" s="55"/>
      <c r="BP127" s="180">
        <v>119108</v>
      </c>
      <c r="BQ127" s="29"/>
      <c r="BR127" s="30"/>
      <c r="BS127" s="55"/>
      <c r="BT127" s="29"/>
      <c r="BU127" s="29"/>
      <c r="BV127" s="30"/>
      <c r="BW127" s="55"/>
      <c r="BX127" s="29"/>
      <c r="BY127" s="29"/>
      <c r="BZ127" s="30"/>
      <c r="CA127" s="31"/>
    </row>
    <row r="128" spans="1:79" hidden="1">
      <c r="B128" s="297"/>
      <c r="C128" s="307" t="s">
        <v>969</v>
      </c>
      <c r="D128" s="299" t="str">
        <f t="shared" si="24"/>
        <v>/SLN</v>
      </c>
      <c r="E128" s="308" t="s">
        <v>969</v>
      </c>
      <c r="F128" s="301">
        <f t="shared" si="25"/>
        <v>0</v>
      </c>
      <c r="G128" s="302" t="s">
        <v>1063</v>
      </c>
      <c r="H128" s="302" t="s">
        <v>1074</v>
      </c>
      <c r="I128" s="302" t="s">
        <v>1117</v>
      </c>
      <c r="J128" s="303">
        <v>29000</v>
      </c>
      <c r="K128" s="312">
        <f t="shared" si="29"/>
        <v>4450</v>
      </c>
      <c r="L128" s="301" t="s">
        <v>69</v>
      </c>
      <c r="M128" s="305">
        <f t="shared" si="28"/>
        <v>24550</v>
      </c>
      <c r="N128" s="316">
        <v>4450</v>
      </c>
      <c r="O128" s="306">
        <f t="shared" si="30"/>
        <v>29000</v>
      </c>
      <c r="P128" s="294"/>
      <c r="Q128" s="292" t="s">
        <v>1181</v>
      </c>
      <c r="R128" s="22"/>
      <c r="S128" s="22">
        <f t="shared" si="19"/>
        <v>29000</v>
      </c>
      <c r="T128" s="22">
        <f t="shared" si="20"/>
        <v>41428.571428571435</v>
      </c>
      <c r="U128" s="23">
        <f t="shared" si="21"/>
        <v>47346.938775510214</v>
      </c>
      <c r="V128" s="24">
        <f t="shared" si="22"/>
        <v>0.12500000000000006</v>
      </c>
      <c r="W128" s="23">
        <f t="shared" si="27"/>
        <v>47400</v>
      </c>
      <c r="X128" s="164">
        <f t="shared" si="23"/>
        <v>0.3000000000000001</v>
      </c>
      <c r="Y128" s="25"/>
      <c r="Z128" s="25"/>
      <c r="AA128" s="25"/>
      <c r="AB128" s="34"/>
      <c r="AC128" s="164"/>
      <c r="AD128" s="35"/>
      <c r="AE128" s="36"/>
      <c r="AF128" s="29"/>
      <c r="AG128" s="29"/>
      <c r="AH128" s="30"/>
      <c r="AI128" s="172" t="s">
        <v>608</v>
      </c>
      <c r="AJ128" s="29"/>
      <c r="AK128" s="29"/>
      <c r="AL128" s="30"/>
      <c r="AM128" s="172"/>
      <c r="AN128" s="29"/>
      <c r="AO128" s="29"/>
      <c r="AP128" s="30"/>
      <c r="AQ128" s="172"/>
      <c r="AR128" s="29"/>
      <c r="AS128" s="29"/>
      <c r="AT128" s="30"/>
      <c r="AU128" s="172" t="s">
        <v>608</v>
      </c>
      <c r="AV128" s="29"/>
      <c r="AW128" s="29"/>
      <c r="AX128" s="30"/>
      <c r="AY128" s="55"/>
      <c r="AZ128" s="29"/>
      <c r="BA128" s="29"/>
      <c r="BB128" s="30"/>
      <c r="BC128" s="172"/>
      <c r="BD128" s="29"/>
      <c r="BE128" s="29"/>
      <c r="BF128" s="30"/>
      <c r="BG128" s="55"/>
      <c r="BH128" s="29"/>
      <c r="BI128" s="29"/>
      <c r="BJ128" s="30"/>
      <c r="BK128" s="172" t="s">
        <v>751</v>
      </c>
      <c r="BL128" s="29"/>
      <c r="BM128" s="29"/>
      <c r="BN128" s="30"/>
      <c r="BO128" s="55"/>
      <c r="BP128" s="29"/>
      <c r="BQ128" s="29"/>
      <c r="BR128" s="30"/>
      <c r="BS128" s="55"/>
      <c r="BT128" s="29"/>
      <c r="BU128" s="29"/>
      <c r="BV128" s="30"/>
      <c r="BW128" s="55"/>
      <c r="BX128" s="29"/>
      <c r="BY128" s="29"/>
      <c r="BZ128" s="30"/>
      <c r="CA128" s="31"/>
    </row>
    <row r="129" spans="2:79" hidden="1">
      <c r="B129" s="297"/>
      <c r="C129" s="307" t="s">
        <v>974</v>
      </c>
      <c r="D129" s="299" t="str">
        <f t="shared" si="24"/>
        <v xml:space="preserve"> 857</v>
      </c>
      <c r="E129" s="308" t="s">
        <v>974</v>
      </c>
      <c r="F129" s="301">
        <f t="shared" si="25"/>
        <v>0</v>
      </c>
      <c r="G129" s="302" t="s">
        <v>1063</v>
      </c>
      <c r="H129" s="302" t="s">
        <v>1074</v>
      </c>
      <c r="I129" s="302" t="s">
        <v>1117</v>
      </c>
      <c r="J129" s="303">
        <v>31000</v>
      </c>
      <c r="K129" s="312">
        <f t="shared" si="29"/>
        <v>4450</v>
      </c>
      <c r="L129" s="301" t="s">
        <v>69</v>
      </c>
      <c r="M129" s="305">
        <f t="shared" si="28"/>
        <v>26550</v>
      </c>
      <c r="N129" s="316">
        <v>4450</v>
      </c>
      <c r="O129" s="306">
        <f t="shared" si="30"/>
        <v>31000</v>
      </c>
      <c r="P129" s="294"/>
      <c r="Q129" s="292" t="s">
        <v>1181</v>
      </c>
      <c r="R129" s="22"/>
      <c r="S129" s="22">
        <f t="shared" si="19"/>
        <v>31000</v>
      </c>
      <c r="T129" s="22">
        <f t="shared" si="20"/>
        <v>44285.71428571429</v>
      </c>
      <c r="U129" s="23">
        <f t="shared" si="21"/>
        <v>50612.244897959186</v>
      </c>
      <c r="V129" s="24">
        <f t="shared" si="22"/>
        <v>0.12499999999999996</v>
      </c>
      <c r="W129" s="23">
        <f t="shared" si="27"/>
        <v>50700</v>
      </c>
      <c r="X129" s="164">
        <f t="shared" si="23"/>
        <v>0.30000000000000004</v>
      </c>
      <c r="Y129" s="25"/>
      <c r="Z129" s="25"/>
      <c r="AA129" s="25"/>
      <c r="AB129" s="34" t="s">
        <v>166</v>
      </c>
      <c r="AC129" s="164">
        <f>AVERAGE(X125,X129)</f>
        <v>0.30000000000000004</v>
      </c>
      <c r="AD129" s="46">
        <f>AVERAGE(T125,T129)</f>
        <v>42857.142857142862</v>
      </c>
      <c r="AE129" s="28">
        <f>AVERAGE(AI129,AM129,AQ129,AU129,BC129,BK129,BO129,BS129,BW129)</f>
        <v>160797</v>
      </c>
      <c r="AF129" s="180">
        <v>152071.42857142858</v>
      </c>
      <c r="AG129" s="180"/>
      <c r="AH129" s="21">
        <f>(AD129-AF129)/AF129</f>
        <v>-0.71817754814466883</v>
      </c>
      <c r="AI129" s="44">
        <v>154402</v>
      </c>
      <c r="AJ129" s="180">
        <v>144075</v>
      </c>
      <c r="AK129" s="29"/>
      <c r="AL129" s="21">
        <f>(AI129-AJ129)/AJ129</f>
        <v>7.1677945514488986E-2</v>
      </c>
      <c r="AM129" s="44">
        <v>167580</v>
      </c>
      <c r="AN129" s="180">
        <f>117306/0.7</f>
        <v>167580</v>
      </c>
      <c r="AO129" s="29"/>
      <c r="AP129" s="30">
        <f>(AM129-AN129)/AN129</f>
        <v>0</v>
      </c>
      <c r="AQ129" s="55"/>
      <c r="AR129" s="29"/>
      <c r="AS129" s="29"/>
      <c r="AT129" s="30"/>
      <c r="AU129" s="55"/>
      <c r="AV129" s="29"/>
      <c r="AW129" s="29"/>
      <c r="AX129" s="30"/>
      <c r="AY129" s="55"/>
      <c r="AZ129" s="29"/>
      <c r="BA129" s="29"/>
      <c r="BB129" s="30"/>
      <c r="BC129" s="59">
        <v>136206</v>
      </c>
      <c r="BD129" s="180">
        <v>136593</v>
      </c>
      <c r="BE129" s="29"/>
      <c r="BF129" s="30"/>
      <c r="BG129" s="55"/>
      <c r="BH129" s="29"/>
      <c r="BI129" s="29"/>
      <c r="BJ129" s="30"/>
      <c r="BK129" s="44">
        <v>185000</v>
      </c>
      <c r="BL129" s="29"/>
      <c r="BM129" s="29"/>
      <c r="BN129" s="30"/>
      <c r="BO129" s="55"/>
      <c r="BP129" s="29"/>
      <c r="BQ129" s="29"/>
      <c r="BR129" s="30"/>
      <c r="BS129" s="55"/>
      <c r="BT129" s="29"/>
      <c r="BU129" s="29"/>
      <c r="BV129" s="30"/>
      <c r="BW129" s="55"/>
      <c r="BX129" s="29"/>
      <c r="BY129" s="29"/>
      <c r="BZ129" s="30"/>
      <c r="CA129" s="31"/>
    </row>
    <row r="130" spans="2:79" hidden="1">
      <c r="B130" s="297"/>
      <c r="C130" s="307" t="s">
        <v>742</v>
      </c>
      <c r="D130" s="299" t="str">
        <f t="shared" si="24"/>
        <v xml:space="preserve"> 117</v>
      </c>
      <c r="E130" s="308" t="s">
        <v>742</v>
      </c>
      <c r="F130" s="301">
        <f t="shared" si="25"/>
        <v>0</v>
      </c>
      <c r="G130" s="302" t="s">
        <v>35</v>
      </c>
      <c r="H130" s="302" t="s">
        <v>1084</v>
      </c>
      <c r="I130" s="302" t="s">
        <v>1118</v>
      </c>
      <c r="J130" s="303">
        <v>68500</v>
      </c>
      <c r="K130" s="312">
        <f t="shared" si="29"/>
        <v>6150</v>
      </c>
      <c r="L130" s="301" t="s">
        <v>69</v>
      </c>
      <c r="M130" s="305">
        <f t="shared" si="28"/>
        <v>62350</v>
      </c>
      <c r="N130" s="316">
        <v>6150</v>
      </c>
      <c r="O130" s="306">
        <f t="shared" si="30"/>
        <v>68500</v>
      </c>
      <c r="P130" s="294"/>
      <c r="Q130" s="292" t="s">
        <v>1183</v>
      </c>
      <c r="R130" s="22"/>
      <c r="S130" s="22">
        <f t="shared" si="19"/>
        <v>68500</v>
      </c>
      <c r="T130" s="22">
        <f t="shared" si="20"/>
        <v>97857.14285714287</v>
      </c>
      <c r="U130" s="23">
        <f t="shared" si="21"/>
        <v>111836.73469387756</v>
      </c>
      <c r="V130" s="24">
        <f t="shared" si="22"/>
        <v>0.12499999999999994</v>
      </c>
      <c r="W130" s="23">
        <f t="shared" si="27"/>
        <v>111900</v>
      </c>
      <c r="X130" s="164">
        <f t="shared" si="23"/>
        <v>0.3000000000000001</v>
      </c>
      <c r="Y130" s="25"/>
      <c r="Z130" s="25"/>
      <c r="AA130" s="25"/>
      <c r="AB130" s="35"/>
      <c r="AC130" s="164">
        <f>AVERAGE(X130,X128)</f>
        <v>0.3000000000000001</v>
      </c>
      <c r="AD130" s="46">
        <f>AVERAGE(T130,T128)</f>
        <v>69642.857142857159</v>
      </c>
      <c r="AE130" s="28">
        <f>AVERAGE(AI130,AM130,AQ130,AU130,BC130,BK130,BO130,BS130,BW130)</f>
        <v>130670.33333333333</v>
      </c>
      <c r="AF130" s="182">
        <v>133857.14285714287</v>
      </c>
      <c r="AG130" s="181">
        <v>114571</v>
      </c>
      <c r="AH130" s="176"/>
      <c r="AI130" s="250">
        <v>115211</v>
      </c>
      <c r="AJ130" s="181">
        <f>85097/0.7</f>
        <v>121567.14285714287</v>
      </c>
      <c r="AK130" s="181">
        <v>116514</v>
      </c>
      <c r="AL130" s="185"/>
      <c r="AM130" s="177"/>
      <c r="AN130" s="181">
        <f>78204/0.7</f>
        <v>111720</v>
      </c>
      <c r="AO130" s="181">
        <v>137381</v>
      </c>
      <c r="AP130" s="176"/>
      <c r="AQ130" s="177"/>
      <c r="AR130" s="181">
        <f>92925/0.7</f>
        <v>132750</v>
      </c>
      <c r="AS130" s="181">
        <v>127350</v>
      </c>
      <c r="AT130" s="176"/>
      <c r="AU130" s="250">
        <v>118800</v>
      </c>
      <c r="AV130" s="176"/>
      <c r="AW130" s="181">
        <v>115650</v>
      </c>
      <c r="AX130" s="176"/>
      <c r="AY130" s="177"/>
      <c r="AZ130" s="176"/>
      <c r="BA130" s="176"/>
      <c r="BB130" s="176"/>
      <c r="BC130" s="177"/>
      <c r="BD130" s="181">
        <v>135729</v>
      </c>
      <c r="BE130" s="181">
        <v>131933</v>
      </c>
      <c r="BF130" s="176"/>
      <c r="BK130" s="249">
        <v>158000</v>
      </c>
      <c r="BL130" s="181">
        <f>107450/0.7</f>
        <v>153500</v>
      </c>
      <c r="BM130" s="181">
        <v>148000</v>
      </c>
      <c r="BN130" s="176"/>
      <c r="BO130" s="177"/>
      <c r="BP130" s="176"/>
      <c r="BQ130" s="181">
        <v>122936</v>
      </c>
      <c r="BR130" s="176"/>
      <c r="BS130" s="177"/>
      <c r="BT130" s="176"/>
      <c r="BU130" s="176"/>
      <c r="BV130" s="176"/>
      <c r="BW130" s="177"/>
      <c r="BX130" s="176"/>
      <c r="BY130" s="176"/>
      <c r="BZ130" s="176"/>
      <c r="CA130" s="176"/>
    </row>
    <row r="131" spans="2:79" hidden="1">
      <c r="B131" s="297"/>
      <c r="C131" s="307" t="s">
        <v>975</v>
      </c>
      <c r="D131" s="299" t="str">
        <f t="shared" si="24"/>
        <v xml:space="preserve"> 165</v>
      </c>
      <c r="E131" s="308" t="s">
        <v>975</v>
      </c>
      <c r="F131" s="301">
        <f t="shared" si="25"/>
        <v>0</v>
      </c>
      <c r="G131" s="302" t="s">
        <v>35</v>
      </c>
      <c r="H131" s="302" t="s">
        <v>137</v>
      </c>
      <c r="I131" s="302" t="s">
        <v>1118</v>
      </c>
      <c r="J131" s="303">
        <v>85000</v>
      </c>
      <c r="K131" s="312">
        <f t="shared" si="29"/>
        <v>6700</v>
      </c>
      <c r="L131" s="301" t="s">
        <v>69</v>
      </c>
      <c r="M131" s="305">
        <f t="shared" si="28"/>
        <v>78300</v>
      </c>
      <c r="N131" s="316">
        <v>6700</v>
      </c>
      <c r="O131" s="306">
        <f t="shared" si="30"/>
        <v>85000</v>
      </c>
      <c r="P131" s="295"/>
      <c r="Q131" s="292" t="s">
        <v>1184</v>
      </c>
      <c r="R131" s="22"/>
      <c r="S131" s="22">
        <f t="shared" si="19"/>
        <v>85000</v>
      </c>
      <c r="T131" s="22">
        <f t="shared" si="20"/>
        <v>121428.57142857143</v>
      </c>
      <c r="U131" s="23">
        <f t="shared" si="21"/>
        <v>138775.51020408163</v>
      </c>
      <c r="V131" s="24">
        <f t="shared" si="22"/>
        <v>0.12499999999999992</v>
      </c>
      <c r="W131" s="23">
        <f t="shared" si="27"/>
        <v>138800</v>
      </c>
      <c r="X131" s="164">
        <f t="shared" si="23"/>
        <v>0.30000000000000004</v>
      </c>
      <c r="Y131" s="25"/>
      <c r="Z131" s="25"/>
      <c r="AA131" s="25"/>
      <c r="AB131" s="34"/>
      <c r="AC131" s="164"/>
      <c r="AD131" s="35"/>
      <c r="AE131" s="36"/>
      <c r="AF131" s="29"/>
      <c r="AG131" s="29"/>
      <c r="AH131" s="30"/>
      <c r="AI131" s="172" t="s">
        <v>608</v>
      </c>
      <c r="AJ131" s="29"/>
      <c r="AK131" s="29"/>
      <c r="AL131" s="30"/>
      <c r="AM131" s="55"/>
      <c r="AN131" s="29"/>
      <c r="AO131" s="29"/>
      <c r="AP131" s="30"/>
      <c r="AQ131" s="172" t="s">
        <v>608</v>
      </c>
      <c r="AR131" s="29"/>
      <c r="AS131" s="29"/>
      <c r="AT131" s="30"/>
      <c r="AU131" s="172" t="s">
        <v>608</v>
      </c>
      <c r="AV131" s="29"/>
      <c r="AW131" s="29"/>
      <c r="AX131" s="30"/>
      <c r="AY131" s="55"/>
      <c r="AZ131" s="29"/>
      <c r="BA131" s="29"/>
      <c r="BB131" s="30"/>
      <c r="BC131" s="172" t="s">
        <v>751</v>
      </c>
      <c r="BD131" s="29"/>
      <c r="BE131" s="29"/>
      <c r="BF131" s="30"/>
      <c r="BG131" s="55"/>
      <c r="BH131" s="29"/>
      <c r="BI131" s="29"/>
      <c r="BJ131" s="30"/>
      <c r="BK131" s="172" t="s">
        <v>751</v>
      </c>
      <c r="BL131" s="29"/>
      <c r="BM131" s="29"/>
      <c r="BN131" s="30"/>
      <c r="BO131" s="55"/>
      <c r="BP131" s="29"/>
      <c r="BQ131" s="29"/>
      <c r="BR131" s="30"/>
      <c r="BS131" s="55"/>
      <c r="BT131" s="29"/>
      <c r="BU131" s="29"/>
      <c r="BV131" s="30"/>
      <c r="BW131" s="55"/>
      <c r="BX131" s="29"/>
      <c r="BY131" s="29"/>
      <c r="BZ131" s="30"/>
      <c r="CA131" s="31"/>
    </row>
    <row r="132" spans="2:79" hidden="1">
      <c r="B132" s="297"/>
      <c r="C132" s="307" t="s">
        <v>144</v>
      </c>
      <c r="D132" s="299" t="str">
        <f t="shared" si="24"/>
        <v xml:space="preserve"> 603</v>
      </c>
      <c r="E132" s="308" t="s">
        <v>144</v>
      </c>
      <c r="F132" s="301">
        <f t="shared" si="25"/>
        <v>0</v>
      </c>
      <c r="G132" s="302" t="s">
        <v>35</v>
      </c>
      <c r="H132" s="302" t="s">
        <v>1070</v>
      </c>
      <c r="I132" s="302" t="s">
        <v>1118</v>
      </c>
      <c r="J132" s="303">
        <v>103000</v>
      </c>
      <c r="K132" s="312">
        <f t="shared" si="29"/>
        <v>6700</v>
      </c>
      <c r="L132" s="301" t="s">
        <v>69</v>
      </c>
      <c r="M132" s="305">
        <f t="shared" si="28"/>
        <v>96300</v>
      </c>
      <c r="N132" s="316">
        <v>6700</v>
      </c>
      <c r="O132" s="306">
        <f t="shared" si="30"/>
        <v>103000</v>
      </c>
      <c r="P132" s="295"/>
      <c r="Q132" s="292" t="s">
        <v>1184</v>
      </c>
      <c r="R132" s="22"/>
      <c r="S132" s="22">
        <f t="shared" si="19"/>
        <v>103000</v>
      </c>
      <c r="T132" s="22">
        <f t="shared" si="20"/>
        <v>147142.85714285716</v>
      </c>
      <c r="U132" s="23">
        <f t="shared" si="21"/>
        <v>168163.26530612246</v>
      </c>
      <c r="V132" s="24">
        <f t="shared" si="22"/>
        <v>0.12499999999999993</v>
      </c>
      <c r="W132" s="23">
        <f t="shared" si="27"/>
        <v>168200</v>
      </c>
      <c r="X132" s="164">
        <f t="shared" si="23"/>
        <v>0.3000000000000001</v>
      </c>
      <c r="Y132" s="188">
        <v>125714.28571428572</v>
      </c>
      <c r="Z132" s="188">
        <f>T132-Y132</f>
        <v>21428.571428571435</v>
      </c>
      <c r="AA132" s="189">
        <f>Z132/Y132</f>
        <v>0.1704545454545455</v>
      </c>
      <c r="AB132" s="26"/>
      <c r="AC132" s="164"/>
      <c r="AD132" s="42"/>
      <c r="AE132" s="43"/>
      <c r="AF132" s="29"/>
      <c r="AG132" s="29"/>
      <c r="AH132" s="30"/>
      <c r="AI132" s="172" t="s">
        <v>608</v>
      </c>
      <c r="AJ132" s="29"/>
      <c r="AK132" s="29"/>
      <c r="AL132" s="30"/>
      <c r="AM132" s="55"/>
      <c r="AN132" s="29"/>
      <c r="AO132" s="29"/>
      <c r="AP132" s="30"/>
      <c r="AQ132" s="172" t="s">
        <v>608</v>
      </c>
      <c r="AR132" s="29"/>
      <c r="AS132" s="29"/>
      <c r="AT132" s="30"/>
      <c r="AU132" s="172" t="s">
        <v>608</v>
      </c>
      <c r="AV132" s="29"/>
      <c r="AW132" s="29"/>
      <c r="AX132" s="30"/>
      <c r="AY132" s="55"/>
      <c r="AZ132" s="29"/>
      <c r="BA132" s="29"/>
      <c r="BB132" s="30"/>
      <c r="BC132" s="172" t="s">
        <v>751</v>
      </c>
      <c r="BD132" s="29"/>
      <c r="BE132" s="29"/>
      <c r="BF132" s="30"/>
      <c r="BG132" s="55"/>
      <c r="BH132" s="29"/>
      <c r="BI132" s="29"/>
      <c r="BJ132" s="30"/>
      <c r="BK132" s="172" t="s">
        <v>751</v>
      </c>
      <c r="BL132" s="29"/>
      <c r="BM132" s="29"/>
      <c r="BN132" s="30"/>
      <c r="BO132" s="55"/>
      <c r="BP132" s="29"/>
      <c r="BQ132" s="29"/>
      <c r="BR132" s="30"/>
      <c r="BS132" s="55"/>
      <c r="BT132" s="29"/>
      <c r="BU132" s="29"/>
      <c r="BV132" s="30"/>
      <c r="BW132" s="55"/>
      <c r="BX132" s="29"/>
      <c r="BY132" s="29"/>
      <c r="BZ132" s="30"/>
      <c r="CA132" s="31"/>
    </row>
    <row r="133" spans="2:79" hidden="1">
      <c r="B133" s="297"/>
      <c r="C133" s="307" t="s">
        <v>643</v>
      </c>
      <c r="D133" s="299" t="str">
        <f t="shared" si="24"/>
        <v xml:space="preserve"> 467</v>
      </c>
      <c r="E133" s="308" t="s">
        <v>643</v>
      </c>
      <c r="F133" s="301">
        <f t="shared" si="25"/>
        <v>0</v>
      </c>
      <c r="G133" s="302" t="s">
        <v>35</v>
      </c>
      <c r="H133" s="302" t="s">
        <v>1070</v>
      </c>
      <c r="I133" s="302" t="s">
        <v>1118</v>
      </c>
      <c r="J133" s="303">
        <v>104000</v>
      </c>
      <c r="K133" s="312">
        <f t="shared" ref="K133:K164" si="33">J133-M133</f>
        <v>6700</v>
      </c>
      <c r="L133" s="301" t="s">
        <v>69</v>
      </c>
      <c r="M133" s="305">
        <f t="shared" si="28"/>
        <v>97300</v>
      </c>
      <c r="N133" s="316">
        <v>6700</v>
      </c>
      <c r="O133" s="306">
        <f t="shared" si="30"/>
        <v>104000</v>
      </c>
      <c r="P133" s="295"/>
      <c r="Q133" s="292" t="s">
        <v>1184</v>
      </c>
      <c r="R133" s="22"/>
      <c r="S133" s="22">
        <f t="shared" si="19"/>
        <v>104000</v>
      </c>
      <c r="T133" s="22">
        <f t="shared" si="20"/>
        <v>148571.42857142858</v>
      </c>
      <c r="U133" s="23">
        <f t="shared" si="21"/>
        <v>169795.91836734695</v>
      </c>
      <c r="V133" s="24">
        <f t="shared" si="22"/>
        <v>0.12500000000000003</v>
      </c>
      <c r="W133" s="23">
        <f t="shared" si="27"/>
        <v>169800</v>
      </c>
      <c r="X133" s="164">
        <f t="shared" si="23"/>
        <v>0.30000000000000004</v>
      </c>
      <c r="Y133" s="190">
        <v>127142.85714285714</v>
      </c>
      <c r="Z133" s="188">
        <f>T133-Y133</f>
        <v>21428.571428571435</v>
      </c>
      <c r="AA133" s="189">
        <f>Z133/Y133</f>
        <v>0.16853932584269668</v>
      </c>
      <c r="AB133" s="34"/>
      <c r="AC133" s="164"/>
      <c r="AD133" s="42"/>
      <c r="AE133" s="43"/>
      <c r="AF133" s="29"/>
      <c r="AG133" s="29"/>
      <c r="AH133" s="30"/>
      <c r="AI133" s="172" t="s">
        <v>608</v>
      </c>
      <c r="AJ133" s="29"/>
      <c r="AK133" s="29"/>
      <c r="AL133" s="30"/>
      <c r="AM133" s="55"/>
      <c r="AN133" s="29"/>
      <c r="AO133" s="29"/>
      <c r="AP133" s="30"/>
      <c r="AQ133" s="172" t="s">
        <v>608</v>
      </c>
      <c r="AR133" s="29"/>
      <c r="AS133" s="29"/>
      <c r="AT133" s="30"/>
      <c r="AU133" s="172" t="s">
        <v>608</v>
      </c>
      <c r="AV133" s="29"/>
      <c r="AW133" s="29"/>
      <c r="AX133" s="30"/>
      <c r="AY133" s="55"/>
      <c r="AZ133" s="29"/>
      <c r="BA133" s="29"/>
      <c r="BB133" s="30"/>
      <c r="BC133" s="172" t="s">
        <v>751</v>
      </c>
      <c r="BD133" s="29"/>
      <c r="BE133" s="29"/>
      <c r="BF133" s="30"/>
      <c r="BG133" s="55"/>
      <c r="BH133" s="29"/>
      <c r="BI133" s="29"/>
      <c r="BJ133" s="30"/>
      <c r="BK133" s="172" t="s">
        <v>751</v>
      </c>
      <c r="BL133" s="29"/>
      <c r="BM133" s="29"/>
      <c r="BN133" s="30"/>
      <c r="BO133" s="55"/>
      <c r="BP133" s="29"/>
      <c r="BQ133" s="29"/>
      <c r="BR133" s="30"/>
      <c r="BS133" s="55"/>
      <c r="BT133" s="29"/>
      <c r="BU133" s="29"/>
      <c r="BV133" s="30"/>
      <c r="BW133" s="55"/>
      <c r="BX133" s="29"/>
      <c r="BY133" s="29"/>
      <c r="BZ133" s="30"/>
      <c r="CA133" s="31"/>
    </row>
    <row r="134" spans="2:79" hidden="1">
      <c r="B134" s="297"/>
      <c r="C134" s="307" t="s">
        <v>976</v>
      </c>
      <c r="D134" s="299" t="str">
        <f t="shared" si="24"/>
        <v xml:space="preserve"> 469</v>
      </c>
      <c r="E134" s="308" t="s">
        <v>976</v>
      </c>
      <c r="F134" s="301">
        <f t="shared" si="25"/>
        <v>0</v>
      </c>
      <c r="G134" s="302" t="s">
        <v>1063</v>
      </c>
      <c r="H134" s="302" t="s">
        <v>1067</v>
      </c>
      <c r="I134" s="302" t="s">
        <v>1118</v>
      </c>
      <c r="J134" s="303">
        <v>74000</v>
      </c>
      <c r="K134" s="312">
        <f t="shared" si="33"/>
        <v>4200</v>
      </c>
      <c r="L134" s="301" t="s">
        <v>69</v>
      </c>
      <c r="M134" s="305">
        <f t="shared" si="28"/>
        <v>69800</v>
      </c>
      <c r="N134" s="316">
        <v>4200</v>
      </c>
      <c r="O134" s="306">
        <f>N134+M134</f>
        <v>74000</v>
      </c>
      <c r="P134" s="295"/>
      <c r="Q134" s="292" t="s">
        <v>1185</v>
      </c>
      <c r="R134" s="22"/>
      <c r="S134" s="22">
        <f t="shared" si="19"/>
        <v>74000</v>
      </c>
      <c r="T134" s="22">
        <f t="shared" si="20"/>
        <v>105714.28571428572</v>
      </c>
      <c r="U134" s="23">
        <f t="shared" si="21"/>
        <v>120816.32653061226</v>
      </c>
      <c r="V134" s="24">
        <f t="shared" si="22"/>
        <v>0.12500000000000006</v>
      </c>
      <c r="W134" s="23">
        <f t="shared" si="27"/>
        <v>120900</v>
      </c>
      <c r="X134" s="164">
        <f t="shared" si="23"/>
        <v>0.30000000000000004</v>
      </c>
      <c r="Y134" s="25"/>
      <c r="Z134" s="25"/>
      <c r="AA134" s="37"/>
      <c r="AB134" s="26"/>
      <c r="AC134" s="164"/>
      <c r="AD134" s="42"/>
      <c r="AE134" s="43"/>
      <c r="AF134" s="29"/>
      <c r="AG134" s="29"/>
      <c r="AH134" s="30"/>
      <c r="AI134" s="172" t="s">
        <v>608</v>
      </c>
      <c r="AJ134" s="29"/>
      <c r="AK134" s="29"/>
      <c r="AL134" s="30"/>
      <c r="AM134" s="55"/>
      <c r="AN134" s="29"/>
      <c r="AO134" s="29"/>
      <c r="AP134" s="30"/>
      <c r="AQ134" s="172" t="s">
        <v>608</v>
      </c>
      <c r="AR134" s="29"/>
      <c r="AS134" s="29"/>
      <c r="AT134" s="30"/>
      <c r="AU134" s="172" t="s">
        <v>608</v>
      </c>
      <c r="AV134" s="29"/>
      <c r="AW134" s="29"/>
      <c r="AX134" s="30"/>
      <c r="AY134" s="55"/>
      <c r="AZ134" s="29"/>
      <c r="BA134" s="29"/>
      <c r="BB134" s="30"/>
      <c r="BC134" s="172" t="s">
        <v>751</v>
      </c>
      <c r="BD134" s="29"/>
      <c r="BE134" s="29"/>
      <c r="BF134" s="30"/>
      <c r="BG134" s="55"/>
      <c r="BH134" s="29"/>
      <c r="BI134" s="29"/>
      <c r="BJ134" s="30"/>
      <c r="BK134" s="172" t="s">
        <v>751</v>
      </c>
      <c r="BL134" s="29"/>
      <c r="BM134" s="29"/>
      <c r="BN134" s="30"/>
      <c r="BO134" s="55"/>
      <c r="BP134" s="29"/>
      <c r="BQ134" s="29"/>
      <c r="BR134" s="30"/>
      <c r="BS134" s="55"/>
      <c r="BT134" s="29"/>
      <c r="BU134" s="29"/>
      <c r="BV134" s="30"/>
      <c r="BW134" s="55"/>
      <c r="BX134" s="29"/>
      <c r="BY134" s="29"/>
      <c r="BZ134" s="30"/>
      <c r="CA134" s="31"/>
    </row>
    <row r="135" spans="2:79" hidden="1">
      <c r="B135" s="297"/>
      <c r="C135" s="307" t="s">
        <v>977</v>
      </c>
      <c r="D135" s="299" t="str">
        <f t="shared" si="24"/>
        <v xml:space="preserve"> 589</v>
      </c>
      <c r="E135" s="308" t="s">
        <v>977</v>
      </c>
      <c r="F135" s="301">
        <f t="shared" si="25"/>
        <v>0</v>
      </c>
      <c r="G135" s="302" t="s">
        <v>1063</v>
      </c>
      <c r="H135" s="302" t="s">
        <v>1084</v>
      </c>
      <c r="I135" s="302" t="s">
        <v>1118</v>
      </c>
      <c r="J135" s="303">
        <v>72500</v>
      </c>
      <c r="K135" s="312">
        <f t="shared" si="33"/>
        <v>4200</v>
      </c>
      <c r="L135" s="301" t="s">
        <v>69</v>
      </c>
      <c r="M135" s="305">
        <f t="shared" si="28"/>
        <v>68300</v>
      </c>
      <c r="N135" s="316">
        <v>4200</v>
      </c>
      <c r="O135" s="306">
        <f>M135+N135</f>
        <v>72500</v>
      </c>
      <c r="P135" s="294"/>
      <c r="Q135" s="292" t="s">
        <v>1185</v>
      </c>
      <c r="R135" s="22"/>
      <c r="S135" s="22">
        <f t="shared" ref="S135:S198" si="34">R135+O135</f>
        <v>72500</v>
      </c>
      <c r="T135" s="22">
        <f>S135/0.7</f>
        <v>103571.42857142858</v>
      </c>
      <c r="U135" s="23">
        <f>T135/0.875</f>
        <v>118367.34693877552</v>
      </c>
      <c r="V135" s="24">
        <f>(U135-T135)/U135</f>
        <v>0.12499999999999999</v>
      </c>
      <c r="W135" s="23">
        <f t="shared" si="27"/>
        <v>118400</v>
      </c>
      <c r="X135" s="164">
        <f t="shared" ref="X135:X198" si="35">(T135-O135)/T135</f>
        <v>0.30000000000000004</v>
      </c>
      <c r="Y135" s="25"/>
      <c r="Z135" s="25"/>
      <c r="AA135" s="25"/>
      <c r="AB135" s="34" t="s">
        <v>173</v>
      </c>
      <c r="AC135" s="290">
        <f>AVERAGE(X135,X124,X105)</f>
        <v>0.30000000000000004</v>
      </c>
      <c r="AD135" s="208">
        <f>AVERAGE(T105,T124,T135)</f>
        <v>82142.857142857145</v>
      </c>
      <c r="AE135" s="28">
        <f>AVERAGE(AI135,AM135,AQ135,AU135,BC135,BK135,BO135,BS135,BW135)</f>
        <v>113944.6</v>
      </c>
      <c r="AF135" s="180">
        <v>109119.04761904763</v>
      </c>
      <c r="AG135" s="181">
        <v>102078</v>
      </c>
      <c r="AH135" s="21">
        <f>(AD135-AF135)/AF135</f>
        <v>-0.24721797948941748</v>
      </c>
      <c r="AI135" s="41">
        <v>101451</v>
      </c>
      <c r="AJ135" s="180">
        <f>70151/0.7</f>
        <v>100215.71428571429</v>
      </c>
      <c r="AK135" s="180">
        <v>94811</v>
      </c>
      <c r="AL135" s="21">
        <f>(AI135-AJ135)/AJ135</f>
        <v>1.2326267622699564E-2</v>
      </c>
      <c r="AM135" s="55"/>
      <c r="AN135" s="180">
        <f>61648/0.7</f>
        <v>88068.571428571435</v>
      </c>
      <c r="AO135" s="180">
        <v>94286</v>
      </c>
      <c r="AP135" s="21">
        <f>(AM135-AN135)/AN135</f>
        <v>-1</v>
      </c>
      <c r="AQ135" s="44">
        <v>118050</v>
      </c>
      <c r="AR135" s="180">
        <f>80185/0.7</f>
        <v>114550</v>
      </c>
      <c r="AS135" s="180">
        <v>112821</v>
      </c>
      <c r="AT135" s="21">
        <f>(AQ135-AR135)/AR135</f>
        <v>3.0554343081623744E-2</v>
      </c>
      <c r="AU135" s="44">
        <v>117562</v>
      </c>
      <c r="AV135" s="180">
        <f>81270/0.7</f>
        <v>116100.00000000001</v>
      </c>
      <c r="AW135" s="180">
        <v>116100</v>
      </c>
      <c r="AX135" s="21">
        <f>(AU135-AV135)/AV135</f>
        <v>1.2592592592592466E-2</v>
      </c>
      <c r="AY135" s="55"/>
      <c r="AZ135" s="29"/>
      <c r="BA135" s="29"/>
      <c r="BB135" s="30"/>
      <c r="BC135" s="59">
        <v>107460</v>
      </c>
      <c r="BD135" s="180">
        <v>109715</v>
      </c>
      <c r="BE135" s="180">
        <v>105390</v>
      </c>
      <c r="BF135" s="21">
        <f>(BC135-BD135)/BD135</f>
        <v>-2.0553251606434855E-2</v>
      </c>
      <c r="BG135" s="55"/>
      <c r="BH135" s="29"/>
      <c r="BI135" s="29"/>
      <c r="BJ135" s="30"/>
      <c r="BK135" s="44">
        <v>125200</v>
      </c>
      <c r="BL135" s="180">
        <f>85400/0.7</f>
        <v>122000.00000000001</v>
      </c>
      <c r="BM135" s="180">
        <v>114900</v>
      </c>
      <c r="BN135" s="21">
        <f>(BK135-BL135)/BL135</f>
        <v>2.622950819672119E-2</v>
      </c>
      <c r="BO135" s="57"/>
      <c r="BP135" s="180">
        <f>80665/0.7</f>
        <v>115235.71428571429</v>
      </c>
      <c r="BQ135" s="180">
        <v>93720</v>
      </c>
      <c r="BR135" s="21">
        <f>(BP135-BQ135)/BQ135</f>
        <v>0.22957441619413455</v>
      </c>
      <c r="BS135" s="55"/>
      <c r="BT135" s="29"/>
      <c r="BU135" s="29"/>
      <c r="BV135" s="30"/>
      <c r="BW135" s="55"/>
      <c r="BX135" s="29"/>
      <c r="BY135" s="29"/>
      <c r="BZ135" s="30"/>
      <c r="CA135" s="31"/>
    </row>
    <row r="136" spans="2:79" hidden="1">
      <c r="B136" s="297"/>
      <c r="C136" s="307" t="s">
        <v>978</v>
      </c>
      <c r="D136" s="299" t="str">
        <f t="shared" ref="D136:D199" si="36">REPLACE(C136,1,3, )</f>
        <v xml:space="preserve"> 992</v>
      </c>
      <c r="E136" s="308" t="s">
        <v>978</v>
      </c>
      <c r="F136" s="301">
        <f t="shared" ref="F136:F199" si="37">IF(C136=E136,0,1)</f>
        <v>0</v>
      </c>
      <c r="G136" s="302" t="s">
        <v>1063</v>
      </c>
      <c r="H136" s="302" t="s">
        <v>1084</v>
      </c>
      <c r="I136" s="302" t="s">
        <v>1118</v>
      </c>
      <c r="J136" s="303">
        <v>72500</v>
      </c>
      <c r="K136" s="312">
        <f t="shared" si="33"/>
        <v>4200</v>
      </c>
      <c r="L136" s="301" t="s">
        <v>69</v>
      </c>
      <c r="M136" s="305">
        <f t="shared" si="28"/>
        <v>68300</v>
      </c>
      <c r="N136" s="316">
        <v>4200</v>
      </c>
      <c r="O136" s="306">
        <f>N136+M136</f>
        <v>72500</v>
      </c>
      <c r="P136" s="294"/>
      <c r="Q136" s="292" t="s">
        <v>1185</v>
      </c>
      <c r="R136" s="22"/>
      <c r="S136" s="22">
        <f t="shared" si="34"/>
        <v>72500</v>
      </c>
      <c r="T136" s="22">
        <f t="shared" ref="T136:T198" si="38">S136/0.7</f>
        <v>103571.42857142858</v>
      </c>
      <c r="U136" s="23">
        <f t="shared" ref="U136:U198" si="39">T136/0.875</f>
        <v>118367.34693877552</v>
      </c>
      <c r="V136" s="24">
        <f t="shared" ref="V136:V198" si="40">(U136-T136)/U136</f>
        <v>0.12499999999999999</v>
      </c>
      <c r="W136" s="23">
        <f t="shared" ref="W136:W199" si="41">(ROUNDUP((U136/100),0))*100</f>
        <v>118400</v>
      </c>
      <c r="X136" s="164">
        <f t="shared" si="35"/>
        <v>0.30000000000000004</v>
      </c>
      <c r="Y136" s="25"/>
      <c r="Z136" s="25"/>
      <c r="AA136" s="25"/>
      <c r="AB136" s="34"/>
      <c r="AC136" s="164"/>
      <c r="AD136" s="35"/>
      <c r="AE136" s="36"/>
      <c r="AF136" s="29"/>
      <c r="AG136" s="29"/>
      <c r="AH136" s="30"/>
      <c r="AI136" s="172" t="s">
        <v>608</v>
      </c>
      <c r="AJ136" s="29"/>
      <c r="AK136" s="29"/>
      <c r="AL136" s="30"/>
      <c r="AM136" s="55"/>
      <c r="AN136" s="29"/>
      <c r="AO136" s="29"/>
      <c r="AP136" s="30"/>
      <c r="AQ136" s="172" t="s">
        <v>608</v>
      </c>
      <c r="AR136" s="29"/>
      <c r="AS136" s="29"/>
      <c r="AT136" s="30"/>
      <c r="AU136" s="172" t="s">
        <v>608</v>
      </c>
      <c r="AV136" s="29"/>
      <c r="AW136" s="29"/>
      <c r="AX136" s="30"/>
      <c r="AY136" s="55"/>
      <c r="AZ136" s="29"/>
      <c r="BA136" s="29"/>
      <c r="BB136" s="30"/>
      <c r="BC136" s="172" t="s">
        <v>751</v>
      </c>
      <c r="BD136" s="29"/>
      <c r="BE136" s="29"/>
      <c r="BF136" s="30"/>
      <c r="BG136" s="55"/>
      <c r="BH136" s="29"/>
      <c r="BI136" s="29"/>
      <c r="BJ136" s="30"/>
      <c r="BK136" s="172" t="s">
        <v>751</v>
      </c>
      <c r="BL136" s="29"/>
      <c r="BM136" s="29"/>
      <c r="BN136" s="30"/>
      <c r="BO136" s="55"/>
      <c r="BP136" s="29"/>
      <c r="BQ136" s="29"/>
      <c r="BR136" s="30"/>
      <c r="BS136" s="55"/>
      <c r="BT136" s="29"/>
      <c r="BU136" s="29"/>
      <c r="BV136" s="30"/>
      <c r="BW136" s="55"/>
      <c r="BX136" s="29"/>
      <c r="BY136" s="29"/>
      <c r="BZ136" s="30"/>
      <c r="CA136" s="31"/>
    </row>
    <row r="137" spans="2:79" hidden="1">
      <c r="B137" s="297"/>
      <c r="C137" s="307" t="s">
        <v>979</v>
      </c>
      <c r="D137" s="299" t="str">
        <f t="shared" si="36"/>
        <v xml:space="preserve"> 606</v>
      </c>
      <c r="E137" s="308" t="s">
        <v>979</v>
      </c>
      <c r="F137" s="301">
        <f t="shared" si="37"/>
        <v>0</v>
      </c>
      <c r="G137" s="302" t="s">
        <v>1063</v>
      </c>
      <c r="H137" s="302" t="s">
        <v>1084</v>
      </c>
      <c r="I137" s="302" t="s">
        <v>1118</v>
      </c>
      <c r="J137" s="303">
        <v>74000</v>
      </c>
      <c r="K137" s="312">
        <f t="shared" si="33"/>
        <v>4200</v>
      </c>
      <c r="L137" s="301" t="s">
        <v>69</v>
      </c>
      <c r="M137" s="305">
        <f t="shared" si="28"/>
        <v>69800</v>
      </c>
      <c r="N137" s="316">
        <v>4200</v>
      </c>
      <c r="O137" s="306">
        <f t="shared" ref="O137:O147" si="42">M137+N137</f>
        <v>74000</v>
      </c>
      <c r="P137" s="295"/>
      <c r="Q137" s="292" t="s">
        <v>1185</v>
      </c>
      <c r="R137" s="22"/>
      <c r="S137" s="22">
        <f t="shared" si="34"/>
        <v>74000</v>
      </c>
      <c r="T137" s="22">
        <f t="shared" si="38"/>
        <v>105714.28571428572</v>
      </c>
      <c r="U137" s="23">
        <f t="shared" si="39"/>
        <v>120816.32653061226</v>
      </c>
      <c r="V137" s="24">
        <f t="shared" si="40"/>
        <v>0.12500000000000006</v>
      </c>
      <c r="W137" s="23">
        <f t="shared" si="41"/>
        <v>120900</v>
      </c>
      <c r="X137" s="164">
        <f t="shared" si="35"/>
        <v>0.30000000000000004</v>
      </c>
      <c r="Y137" s="25"/>
      <c r="Z137" s="25"/>
      <c r="AA137" s="25"/>
      <c r="AB137" s="34"/>
      <c r="AC137" s="164"/>
      <c r="AD137" s="35"/>
      <c r="AE137" s="36"/>
      <c r="AF137" s="29"/>
      <c r="AG137" s="29"/>
      <c r="AH137" s="30"/>
      <c r="AI137" s="172" t="s">
        <v>608</v>
      </c>
      <c r="AJ137" s="29"/>
      <c r="AK137" s="29"/>
      <c r="AL137" s="30"/>
      <c r="AM137" s="55"/>
      <c r="AN137" s="29"/>
      <c r="AO137" s="29"/>
      <c r="AP137" s="30"/>
      <c r="AQ137" s="172" t="s">
        <v>608</v>
      </c>
      <c r="AR137" s="29"/>
      <c r="AS137" s="29"/>
      <c r="AT137" s="30"/>
      <c r="AU137" s="172" t="s">
        <v>608</v>
      </c>
      <c r="AV137" s="29"/>
      <c r="AW137" s="29"/>
      <c r="AX137" s="30"/>
      <c r="AY137" s="55"/>
      <c r="AZ137" s="29"/>
      <c r="BA137" s="29"/>
      <c r="BB137" s="30"/>
      <c r="BC137" s="172" t="s">
        <v>751</v>
      </c>
      <c r="BD137" s="29"/>
      <c r="BE137" s="29"/>
      <c r="BF137" s="30"/>
      <c r="BG137" s="55"/>
      <c r="BH137" s="29"/>
      <c r="BI137" s="29"/>
      <c r="BJ137" s="30"/>
      <c r="BK137" s="172" t="s">
        <v>751</v>
      </c>
      <c r="BL137" s="29"/>
      <c r="BM137" s="29"/>
      <c r="BN137" s="30"/>
      <c r="BO137" s="55"/>
      <c r="BP137" s="29"/>
      <c r="BQ137" s="29"/>
      <c r="BR137" s="30"/>
      <c r="BS137" s="55"/>
      <c r="BT137" s="29"/>
      <c r="BU137" s="29"/>
      <c r="BV137" s="30"/>
      <c r="BW137" s="55"/>
      <c r="BX137" s="29"/>
      <c r="BY137" s="29"/>
      <c r="BZ137" s="30"/>
      <c r="CA137" s="31"/>
    </row>
    <row r="138" spans="2:79" hidden="1">
      <c r="B138" s="297"/>
      <c r="C138" s="307" t="s">
        <v>980</v>
      </c>
      <c r="D138" s="299" t="str">
        <f t="shared" si="36"/>
        <v xml:space="preserve"> 579</v>
      </c>
      <c r="E138" s="308" t="s">
        <v>980</v>
      </c>
      <c r="F138" s="301">
        <f t="shared" si="37"/>
        <v>0</v>
      </c>
      <c r="G138" s="302" t="s">
        <v>1063</v>
      </c>
      <c r="H138" s="302" t="s">
        <v>250</v>
      </c>
      <c r="I138" s="302" t="s">
        <v>1119</v>
      </c>
      <c r="J138" s="303">
        <v>105000</v>
      </c>
      <c r="K138" s="312">
        <f t="shared" si="33"/>
        <v>6450</v>
      </c>
      <c r="L138" s="301" t="s">
        <v>69</v>
      </c>
      <c r="M138" s="305">
        <f t="shared" si="28"/>
        <v>98550</v>
      </c>
      <c r="N138" s="316">
        <v>6450</v>
      </c>
      <c r="O138" s="306">
        <f>M138+N138</f>
        <v>105000</v>
      </c>
      <c r="P138" s="294"/>
      <c r="Q138" s="292" t="s">
        <v>1186</v>
      </c>
      <c r="R138" s="22"/>
      <c r="S138" s="22">
        <f t="shared" si="34"/>
        <v>105000</v>
      </c>
      <c r="T138" s="22">
        <f>S138/0.7</f>
        <v>150000</v>
      </c>
      <c r="U138" s="23">
        <f>T138/0.875</f>
        <v>171428.57142857142</v>
      </c>
      <c r="V138" s="24">
        <f>(U138-T138)/U138</f>
        <v>0.12499999999999996</v>
      </c>
      <c r="W138" s="23">
        <f t="shared" si="41"/>
        <v>171500</v>
      </c>
      <c r="X138" s="164">
        <f t="shared" si="35"/>
        <v>0.3</v>
      </c>
      <c r="Y138" s="25"/>
      <c r="Z138" s="25"/>
      <c r="AA138" s="37"/>
      <c r="AB138" s="34"/>
      <c r="AC138" s="164"/>
      <c r="AD138" s="35"/>
      <c r="AE138" s="36"/>
      <c r="AF138" s="29"/>
      <c r="AG138" s="29"/>
      <c r="AH138" s="30"/>
      <c r="AI138" s="172" t="s">
        <v>608</v>
      </c>
      <c r="AJ138" s="29"/>
      <c r="AK138" s="29"/>
      <c r="AL138" s="30"/>
      <c r="AM138" s="55"/>
      <c r="AN138" s="29"/>
      <c r="AO138" s="29"/>
      <c r="AP138" s="30"/>
      <c r="AQ138" s="172" t="s">
        <v>608</v>
      </c>
      <c r="AR138" s="29"/>
      <c r="AS138" s="29"/>
      <c r="AT138" s="30"/>
      <c r="AU138" s="172" t="s">
        <v>608</v>
      </c>
      <c r="AV138" s="29"/>
      <c r="AW138" s="29"/>
      <c r="AX138" s="30"/>
      <c r="AY138" s="55"/>
      <c r="AZ138" s="29"/>
      <c r="BA138" s="29"/>
      <c r="BB138" s="30"/>
      <c r="BC138" s="172" t="s">
        <v>751</v>
      </c>
      <c r="BD138" s="29"/>
      <c r="BE138" s="29"/>
      <c r="BF138" s="30"/>
      <c r="BG138" s="172" t="s">
        <v>608</v>
      </c>
      <c r="BH138" s="29"/>
      <c r="BI138" s="29"/>
      <c r="BJ138" s="30"/>
      <c r="BK138" s="172" t="s">
        <v>751</v>
      </c>
      <c r="BL138" s="29"/>
      <c r="BM138" s="29"/>
      <c r="BN138" s="30"/>
      <c r="BO138" s="55"/>
      <c r="BP138" s="29"/>
      <c r="BQ138" s="29"/>
      <c r="BR138" s="30"/>
      <c r="BS138" s="55"/>
      <c r="BT138" s="29"/>
      <c r="BU138" s="29"/>
      <c r="BV138" s="30"/>
      <c r="BW138" s="31"/>
    </row>
    <row r="139" spans="2:79" hidden="1">
      <c r="B139" s="297"/>
      <c r="C139" s="307" t="s">
        <v>676</v>
      </c>
      <c r="D139" s="299" t="str">
        <f t="shared" si="36"/>
        <v xml:space="preserve"> 401</v>
      </c>
      <c r="E139" s="308" t="s">
        <v>676</v>
      </c>
      <c r="F139" s="301">
        <f t="shared" si="37"/>
        <v>0</v>
      </c>
      <c r="G139" s="302" t="s">
        <v>35</v>
      </c>
      <c r="H139" s="302" t="s">
        <v>1085</v>
      </c>
      <c r="I139" s="302" t="s">
        <v>1119</v>
      </c>
      <c r="J139" s="303">
        <v>126750</v>
      </c>
      <c r="K139" s="312">
        <f t="shared" si="33"/>
        <v>6750</v>
      </c>
      <c r="L139" s="301" t="s">
        <v>69</v>
      </c>
      <c r="M139" s="305">
        <f t="shared" si="28"/>
        <v>120000</v>
      </c>
      <c r="N139" s="316">
        <v>6750</v>
      </c>
      <c r="O139" s="306">
        <f t="shared" si="42"/>
        <v>126750</v>
      </c>
      <c r="P139" s="294"/>
      <c r="Q139" s="292" t="s">
        <v>1187</v>
      </c>
      <c r="R139" s="22"/>
      <c r="S139" s="22">
        <f t="shared" si="34"/>
        <v>126750</v>
      </c>
      <c r="T139" s="22">
        <f t="shared" si="38"/>
        <v>181071.42857142858</v>
      </c>
      <c r="U139" s="23">
        <f t="shared" si="39"/>
        <v>206938.77551020408</v>
      </c>
      <c r="V139" s="24">
        <f t="shared" si="40"/>
        <v>0.12499999999999996</v>
      </c>
      <c r="W139" s="23">
        <f t="shared" si="41"/>
        <v>207000</v>
      </c>
      <c r="X139" s="164">
        <f t="shared" si="35"/>
        <v>0.30000000000000004</v>
      </c>
      <c r="Y139" s="25"/>
      <c r="Z139" s="25"/>
      <c r="AA139" s="25"/>
      <c r="AB139" s="26" t="s">
        <v>177</v>
      </c>
      <c r="AC139" s="164">
        <f>AVERAGE(X119,X131,X132,X133,X134,X136,X137,X139,X138)</f>
        <v>0.30000000000000004</v>
      </c>
      <c r="AD139" s="46">
        <f>AVERAGE(T119,T131,T132,T133,T134,T136,T137,T139,T138)</f>
        <v>122738.09523809525</v>
      </c>
      <c r="AE139" s="28">
        <f>AVERAGE(AI139,AM139,AQ139,AU139,BC139,BK139,BO139,BS139,BW139)</f>
        <v>133413.20000000001</v>
      </c>
      <c r="AF139" s="180">
        <v>134571.42857142858</v>
      </c>
      <c r="AG139" s="181">
        <v>126735</v>
      </c>
      <c r="AH139" s="21">
        <f>(AD139-AF139)/AF139</f>
        <v>-8.7933474876149997E-2</v>
      </c>
      <c r="AI139" s="59">
        <v>111720</v>
      </c>
      <c r="AJ139" s="180">
        <f>78540/0.7</f>
        <v>112200</v>
      </c>
      <c r="AK139" s="180">
        <v>108800</v>
      </c>
      <c r="AL139" s="51">
        <f>(AI139-AJ139)/AJ139</f>
        <v>-4.2780748663101605E-3</v>
      </c>
      <c r="AM139" s="55"/>
      <c r="AN139" s="29"/>
      <c r="AO139" s="180">
        <v>108800</v>
      </c>
      <c r="AP139" s="30"/>
      <c r="AQ139" s="44">
        <v>140130</v>
      </c>
      <c r="AR139" s="180">
        <f>100091/0.7</f>
        <v>142987.14285714287</v>
      </c>
      <c r="AS139" s="180">
        <v>142988</v>
      </c>
      <c r="AT139" s="21">
        <f>(AQ139-AR139)/AR139</f>
        <v>-1.9981816546942369E-2</v>
      </c>
      <c r="AU139" s="44">
        <v>135000</v>
      </c>
      <c r="AV139" s="180">
        <f>98154/0.7</f>
        <v>140220</v>
      </c>
      <c r="AW139" s="180">
        <v>140220</v>
      </c>
      <c r="AX139" s="30"/>
      <c r="AY139" s="55"/>
      <c r="AZ139" s="29"/>
      <c r="BA139" s="29"/>
      <c r="BB139" s="30"/>
      <c r="BC139" s="59">
        <v>124416</v>
      </c>
      <c r="BD139" s="180">
        <v>131166</v>
      </c>
      <c r="BE139" s="180">
        <v>131220</v>
      </c>
      <c r="BF139" s="21">
        <f>(BC139-BD139)/BD139</f>
        <v>-5.1461506792918894E-2</v>
      </c>
      <c r="BG139" s="55"/>
      <c r="BH139" s="29"/>
      <c r="BI139" s="29"/>
      <c r="BJ139" s="30"/>
      <c r="BK139" s="44">
        <v>155800</v>
      </c>
      <c r="BL139" s="180">
        <f>97650/0.7</f>
        <v>139500</v>
      </c>
      <c r="BM139" s="180">
        <v>130000</v>
      </c>
      <c r="BN139" s="21">
        <f>(BK139-BL139)/BL139</f>
        <v>0.11684587813620072</v>
      </c>
      <c r="BO139" s="57"/>
      <c r="BP139" s="180">
        <f>88273/0.7</f>
        <v>126104.28571428572</v>
      </c>
      <c r="BQ139" s="180">
        <v>121587</v>
      </c>
      <c r="BR139" s="21">
        <f>(BP139-BQ139)/BQ139</f>
        <v>3.7152703120281974E-2</v>
      </c>
      <c r="BS139" s="55"/>
      <c r="BT139" s="29"/>
      <c r="BU139" s="29"/>
      <c r="BV139" s="30"/>
      <c r="BW139" s="55"/>
      <c r="BX139" s="29"/>
      <c r="BY139" s="29"/>
      <c r="BZ139" s="30"/>
      <c r="CA139" s="31"/>
    </row>
    <row r="140" spans="2:79" hidden="1">
      <c r="B140" s="297"/>
      <c r="C140" s="307" t="s">
        <v>981</v>
      </c>
      <c r="D140" s="299" t="str">
        <f t="shared" si="36"/>
        <v xml:space="preserve"> 588</v>
      </c>
      <c r="E140" s="308" t="s">
        <v>981</v>
      </c>
      <c r="F140" s="301">
        <f t="shared" si="37"/>
        <v>0</v>
      </c>
      <c r="G140" s="302" t="s">
        <v>1063</v>
      </c>
      <c r="H140" s="302" t="s">
        <v>1069</v>
      </c>
      <c r="I140" s="302" t="s">
        <v>1119</v>
      </c>
      <c r="J140" s="303">
        <v>100000</v>
      </c>
      <c r="K140" s="312">
        <f t="shared" si="33"/>
        <v>6800</v>
      </c>
      <c r="L140" s="301" t="s">
        <v>69</v>
      </c>
      <c r="M140" s="305">
        <f t="shared" si="28"/>
        <v>93200</v>
      </c>
      <c r="N140" s="316">
        <v>6800</v>
      </c>
      <c r="O140" s="306">
        <f t="shared" si="42"/>
        <v>100000</v>
      </c>
      <c r="P140" s="295"/>
      <c r="Q140" s="292" t="s">
        <v>1188</v>
      </c>
      <c r="R140" s="22"/>
      <c r="S140" s="22">
        <f t="shared" si="34"/>
        <v>100000</v>
      </c>
      <c r="T140" s="22">
        <f t="shared" si="38"/>
        <v>142857.14285714287</v>
      </c>
      <c r="U140" s="23">
        <f t="shared" si="39"/>
        <v>163265.30612244899</v>
      </c>
      <c r="V140" s="24">
        <f t="shared" si="40"/>
        <v>0.125</v>
      </c>
      <c r="W140" s="23">
        <f t="shared" si="41"/>
        <v>163300</v>
      </c>
      <c r="X140" s="164">
        <f t="shared" si="35"/>
        <v>0.30000000000000004</v>
      </c>
      <c r="Y140" s="188">
        <v>121428.57142857143</v>
      </c>
      <c r="Z140" s="188">
        <f>T140-Y140</f>
        <v>21428.571428571435</v>
      </c>
      <c r="AA140" s="189">
        <f>Z140/Y140</f>
        <v>0.17647058823529416</v>
      </c>
      <c r="AB140" s="26"/>
      <c r="AC140" s="164"/>
      <c r="AD140" s="35"/>
      <c r="AE140" s="36"/>
      <c r="AF140" s="29"/>
      <c r="AG140" s="29"/>
      <c r="AH140" s="30"/>
      <c r="AI140" s="172" t="s">
        <v>608</v>
      </c>
      <c r="AJ140" s="29"/>
      <c r="AK140" s="29"/>
      <c r="AL140" s="30"/>
      <c r="AM140" s="172" t="s">
        <v>608</v>
      </c>
      <c r="AN140" s="29"/>
      <c r="AO140" s="29"/>
      <c r="AP140" s="30"/>
      <c r="AQ140" s="172" t="s">
        <v>608</v>
      </c>
      <c r="AR140" s="29"/>
      <c r="AS140" s="29"/>
      <c r="AT140" s="30"/>
      <c r="AU140" s="172" t="s">
        <v>608</v>
      </c>
      <c r="AV140" s="29"/>
      <c r="AW140" s="29"/>
      <c r="AX140" s="30"/>
      <c r="AY140" s="55"/>
      <c r="AZ140" s="29"/>
      <c r="BA140" s="29"/>
      <c r="BB140" s="30"/>
      <c r="BC140" s="172" t="s">
        <v>751</v>
      </c>
      <c r="BD140" s="29"/>
      <c r="BE140" s="29"/>
      <c r="BF140" s="30"/>
      <c r="BG140" s="55"/>
      <c r="BH140" s="29"/>
      <c r="BI140" s="29"/>
      <c r="BJ140" s="30"/>
      <c r="BK140" s="172" t="s">
        <v>751</v>
      </c>
      <c r="BL140" s="29"/>
      <c r="BM140" s="29"/>
      <c r="BN140" s="30"/>
      <c r="BO140" s="55"/>
      <c r="BP140" s="29"/>
      <c r="BQ140" s="29"/>
      <c r="BR140" s="30"/>
      <c r="BS140" s="55"/>
      <c r="BT140" s="29"/>
      <c r="BU140" s="29"/>
      <c r="BV140" s="30"/>
      <c r="BW140" s="55"/>
      <c r="BX140" s="29"/>
      <c r="BY140" s="29"/>
      <c r="BZ140" s="30"/>
      <c r="CA140" s="31"/>
    </row>
    <row r="141" spans="2:79" hidden="1">
      <c r="B141" s="297"/>
      <c r="C141" s="307" t="s">
        <v>982</v>
      </c>
      <c r="D141" s="299" t="str">
        <f t="shared" si="36"/>
        <v xml:space="preserve"> 405</v>
      </c>
      <c r="E141" s="308" t="s">
        <v>982</v>
      </c>
      <c r="F141" s="301">
        <f t="shared" si="37"/>
        <v>0</v>
      </c>
      <c r="G141" s="302" t="s">
        <v>1063</v>
      </c>
      <c r="H141" s="302" t="s">
        <v>250</v>
      </c>
      <c r="I141" s="302" t="s">
        <v>1119</v>
      </c>
      <c r="J141" s="303">
        <v>107500</v>
      </c>
      <c r="K141" s="312">
        <f t="shared" si="33"/>
        <v>6450</v>
      </c>
      <c r="L141" s="301" t="s">
        <v>69</v>
      </c>
      <c r="M141" s="305">
        <f t="shared" si="28"/>
        <v>101050</v>
      </c>
      <c r="N141" s="316">
        <v>6450</v>
      </c>
      <c r="O141" s="306">
        <f t="shared" si="42"/>
        <v>107500</v>
      </c>
      <c r="P141" s="295"/>
      <c r="Q141" s="292" t="s">
        <v>1186</v>
      </c>
      <c r="R141" s="22"/>
      <c r="S141" s="22">
        <f t="shared" si="34"/>
        <v>107500</v>
      </c>
      <c r="T141" s="22">
        <f t="shared" si="38"/>
        <v>153571.42857142858</v>
      </c>
      <c r="U141" s="23">
        <f t="shared" si="39"/>
        <v>175510.20408163266</v>
      </c>
      <c r="V141" s="24">
        <f t="shared" si="40"/>
        <v>0.125</v>
      </c>
      <c r="W141" s="23">
        <f t="shared" si="41"/>
        <v>175600</v>
      </c>
      <c r="X141" s="164">
        <f t="shared" si="35"/>
        <v>0.30000000000000004</v>
      </c>
      <c r="Y141" s="188">
        <v>124285.71428571429</v>
      </c>
      <c r="Z141" s="188">
        <f>T141-Y141</f>
        <v>29285.71428571429</v>
      </c>
      <c r="AA141" s="189">
        <f>Z141/Y141</f>
        <v>0.23563218390804599</v>
      </c>
      <c r="AB141" s="26"/>
      <c r="AC141" s="164"/>
      <c r="AD141" s="42"/>
      <c r="AE141" s="43"/>
      <c r="AF141" s="29"/>
      <c r="AG141" s="29"/>
      <c r="AH141" s="30"/>
      <c r="AI141" s="172" t="s">
        <v>608</v>
      </c>
      <c r="AJ141" s="29"/>
      <c r="AK141" s="29"/>
      <c r="AL141" s="30"/>
      <c r="AM141" s="172" t="s">
        <v>608</v>
      </c>
      <c r="AN141" s="29"/>
      <c r="AO141" s="29"/>
      <c r="AP141" s="30"/>
      <c r="AQ141" s="172" t="s">
        <v>608</v>
      </c>
      <c r="AR141" s="29"/>
      <c r="AS141" s="29"/>
      <c r="AT141" s="30"/>
      <c r="AU141" s="172" t="s">
        <v>608</v>
      </c>
      <c r="AV141" s="29"/>
      <c r="AW141" s="29"/>
      <c r="AX141" s="30"/>
      <c r="AY141" s="55"/>
      <c r="AZ141" s="29"/>
      <c r="BA141" s="29"/>
      <c r="BB141" s="30"/>
      <c r="BC141" s="172" t="s">
        <v>751</v>
      </c>
      <c r="BD141" s="29"/>
      <c r="BE141" s="29"/>
      <c r="BF141" s="30"/>
      <c r="BG141" s="55"/>
      <c r="BH141" s="29"/>
      <c r="BI141" s="29"/>
      <c r="BJ141" s="30"/>
      <c r="BK141" s="172" t="s">
        <v>751</v>
      </c>
      <c r="BL141" s="29"/>
      <c r="BM141" s="29"/>
      <c r="BN141" s="30"/>
      <c r="BO141" s="55"/>
      <c r="BP141" s="29"/>
      <c r="BQ141" s="29"/>
      <c r="BR141" s="30"/>
      <c r="BS141" s="55"/>
      <c r="BT141" s="29"/>
      <c r="BU141" s="29"/>
      <c r="BV141" s="30"/>
      <c r="BW141" s="55"/>
      <c r="BX141" s="29"/>
      <c r="BY141" s="29"/>
      <c r="BZ141" s="30"/>
      <c r="CA141" s="31"/>
    </row>
    <row r="142" spans="2:79" hidden="1">
      <c r="B142" s="297"/>
      <c r="C142" s="307" t="s">
        <v>983</v>
      </c>
      <c r="D142" s="299" t="str">
        <f t="shared" si="36"/>
        <v xml:space="preserve"> 704</v>
      </c>
      <c r="E142" s="308" t="s">
        <v>983</v>
      </c>
      <c r="F142" s="301">
        <f t="shared" si="37"/>
        <v>0</v>
      </c>
      <c r="G142" s="302" t="s">
        <v>1063</v>
      </c>
      <c r="H142" s="302" t="s">
        <v>250</v>
      </c>
      <c r="I142" s="302" t="s">
        <v>1119</v>
      </c>
      <c r="J142" s="303">
        <v>101000</v>
      </c>
      <c r="K142" s="312">
        <f t="shared" si="33"/>
        <v>6450</v>
      </c>
      <c r="L142" s="301" t="s">
        <v>69</v>
      </c>
      <c r="M142" s="305">
        <f t="shared" si="28"/>
        <v>94550</v>
      </c>
      <c r="N142" s="316">
        <v>6450</v>
      </c>
      <c r="O142" s="306">
        <f t="shared" si="42"/>
        <v>101000</v>
      </c>
      <c r="P142" s="295"/>
      <c r="Q142" s="292" t="s">
        <v>1186</v>
      </c>
      <c r="R142" s="22"/>
      <c r="S142" s="22">
        <f t="shared" si="34"/>
        <v>101000</v>
      </c>
      <c r="T142" s="22">
        <f t="shared" si="38"/>
        <v>144285.71428571429</v>
      </c>
      <c r="U142" s="23">
        <f t="shared" si="39"/>
        <v>164897.95918367346</v>
      </c>
      <c r="V142" s="24">
        <f t="shared" si="40"/>
        <v>0.12499999999999993</v>
      </c>
      <c r="W142" s="23">
        <f t="shared" si="41"/>
        <v>164900</v>
      </c>
      <c r="X142" s="164">
        <f t="shared" si="35"/>
        <v>0.30000000000000004</v>
      </c>
      <c r="Y142" s="25"/>
      <c r="Z142" s="25"/>
      <c r="AA142" s="37"/>
      <c r="AB142" s="26"/>
      <c r="AC142" s="164"/>
      <c r="AD142" s="35"/>
      <c r="AE142" s="36"/>
      <c r="AF142" s="29"/>
      <c r="AG142" s="29"/>
      <c r="AH142" s="30"/>
      <c r="AI142" s="172" t="s">
        <v>608</v>
      </c>
      <c r="AJ142" s="29"/>
      <c r="AK142" s="29"/>
      <c r="AL142" s="30"/>
      <c r="AM142" s="172" t="s">
        <v>608</v>
      </c>
      <c r="AN142" s="29"/>
      <c r="AO142" s="29"/>
      <c r="AP142" s="30"/>
      <c r="AQ142" s="172" t="s">
        <v>608</v>
      </c>
      <c r="AR142" s="29"/>
      <c r="AS142" s="29"/>
      <c r="AT142" s="30"/>
      <c r="AU142" s="172" t="s">
        <v>608</v>
      </c>
      <c r="AV142" s="29"/>
      <c r="AW142" s="29"/>
      <c r="AX142" s="30"/>
      <c r="AY142" s="55"/>
      <c r="AZ142" s="29"/>
      <c r="BA142" s="29"/>
      <c r="BB142" s="30"/>
      <c r="BC142" s="172" t="s">
        <v>751</v>
      </c>
      <c r="BD142" s="29"/>
      <c r="BE142" s="29"/>
      <c r="BF142" s="30"/>
      <c r="BG142" s="55"/>
      <c r="BH142" s="29"/>
      <c r="BI142" s="29"/>
      <c r="BJ142" s="30"/>
      <c r="BK142" s="172" t="s">
        <v>751</v>
      </c>
      <c r="BL142" s="29"/>
      <c r="BM142" s="29"/>
      <c r="BN142" s="30"/>
      <c r="BO142" s="55"/>
      <c r="BP142" s="29"/>
      <c r="BQ142" s="29"/>
      <c r="BR142" s="30"/>
      <c r="BS142" s="55"/>
      <c r="BT142" s="29"/>
      <c r="BU142" s="29"/>
      <c r="BV142" s="30"/>
      <c r="BW142" s="55"/>
      <c r="BX142" s="29"/>
      <c r="BY142" s="29"/>
      <c r="BZ142" s="30"/>
      <c r="CA142" s="31"/>
    </row>
    <row r="143" spans="2:79" hidden="1">
      <c r="B143" s="297"/>
      <c r="C143" s="307" t="s">
        <v>984</v>
      </c>
      <c r="D143" s="299" t="str">
        <f t="shared" si="36"/>
        <v xml:space="preserve"> 835</v>
      </c>
      <c r="E143" s="308" t="s">
        <v>984</v>
      </c>
      <c r="F143" s="301">
        <f t="shared" si="37"/>
        <v>0</v>
      </c>
      <c r="G143" s="302" t="s">
        <v>1063</v>
      </c>
      <c r="H143" s="302" t="s">
        <v>250</v>
      </c>
      <c r="I143" s="302" t="s">
        <v>1119</v>
      </c>
      <c r="J143" s="303">
        <v>105000</v>
      </c>
      <c r="K143" s="312">
        <f t="shared" si="33"/>
        <v>6450</v>
      </c>
      <c r="L143" s="301" t="s">
        <v>69</v>
      </c>
      <c r="M143" s="305">
        <f t="shared" si="28"/>
        <v>98550</v>
      </c>
      <c r="N143" s="316">
        <v>6450</v>
      </c>
      <c r="O143" s="306">
        <f t="shared" si="42"/>
        <v>105000</v>
      </c>
      <c r="P143" s="295"/>
      <c r="Q143" s="292" t="s">
        <v>1186</v>
      </c>
      <c r="R143" s="22"/>
      <c r="S143" s="22">
        <f t="shared" si="34"/>
        <v>105000</v>
      </c>
      <c r="T143" s="22">
        <f t="shared" si="38"/>
        <v>150000</v>
      </c>
      <c r="U143" s="23">
        <f t="shared" si="39"/>
        <v>171428.57142857142</v>
      </c>
      <c r="V143" s="24">
        <f t="shared" si="40"/>
        <v>0.12499999999999996</v>
      </c>
      <c r="W143" s="23">
        <f t="shared" si="41"/>
        <v>171500</v>
      </c>
      <c r="X143" s="164">
        <f t="shared" si="35"/>
        <v>0.3</v>
      </c>
      <c r="Y143" s="25"/>
      <c r="Z143" s="25"/>
      <c r="AA143" s="37"/>
      <c r="AB143" s="26"/>
      <c r="AC143" s="164"/>
      <c r="AD143" s="35"/>
      <c r="AE143" s="36"/>
      <c r="AF143" s="29"/>
      <c r="AG143" s="29"/>
      <c r="AH143" s="30"/>
      <c r="AI143" s="172" t="s">
        <v>608</v>
      </c>
      <c r="AJ143" s="29"/>
      <c r="AK143" s="29"/>
      <c r="AL143" s="30"/>
      <c r="AM143" s="172" t="s">
        <v>608</v>
      </c>
      <c r="AN143" s="29"/>
      <c r="AO143" s="29"/>
      <c r="AP143" s="30"/>
      <c r="AQ143" s="172" t="s">
        <v>608</v>
      </c>
      <c r="AR143" s="29"/>
      <c r="AS143" s="29"/>
      <c r="AT143" s="30"/>
      <c r="AU143" s="172" t="s">
        <v>608</v>
      </c>
      <c r="AV143" s="29"/>
      <c r="AW143" s="29"/>
      <c r="AX143" s="30"/>
      <c r="AY143" s="55"/>
      <c r="AZ143" s="29"/>
      <c r="BA143" s="29"/>
      <c r="BB143" s="30"/>
      <c r="BC143" s="172" t="s">
        <v>751</v>
      </c>
      <c r="BD143" s="29"/>
      <c r="BE143" s="29"/>
      <c r="BF143" s="30"/>
      <c r="BG143" s="55"/>
      <c r="BH143" s="29"/>
      <c r="BI143" s="29"/>
      <c r="BJ143" s="30"/>
      <c r="BK143" s="172" t="s">
        <v>751</v>
      </c>
      <c r="BL143" s="29"/>
      <c r="BM143" s="29"/>
      <c r="BN143" s="30"/>
      <c r="BO143" s="55"/>
      <c r="BP143" s="29"/>
      <c r="BQ143" s="29"/>
      <c r="BR143" s="30"/>
      <c r="BS143" s="55"/>
      <c r="BT143" s="29"/>
      <c r="BU143" s="29"/>
      <c r="BV143" s="30"/>
      <c r="BW143" s="55"/>
      <c r="BX143" s="29"/>
      <c r="BY143" s="29"/>
      <c r="BZ143" s="30"/>
      <c r="CA143" s="31"/>
    </row>
    <row r="144" spans="2:79" hidden="1">
      <c r="B144" s="297"/>
      <c r="C144" s="307" t="s">
        <v>188</v>
      </c>
      <c r="D144" s="299" t="str">
        <f t="shared" si="36"/>
        <v xml:space="preserve"> 317</v>
      </c>
      <c r="E144" s="308" t="s">
        <v>188</v>
      </c>
      <c r="F144" s="301">
        <f t="shared" si="37"/>
        <v>0</v>
      </c>
      <c r="G144" s="302" t="s">
        <v>35</v>
      </c>
      <c r="H144" s="302" t="s">
        <v>1086</v>
      </c>
      <c r="I144" s="302" t="s">
        <v>1120</v>
      </c>
      <c r="J144" s="303">
        <v>86500</v>
      </c>
      <c r="K144" s="312">
        <f t="shared" si="33"/>
        <v>6650</v>
      </c>
      <c r="L144" s="301" t="s">
        <v>69</v>
      </c>
      <c r="M144" s="305">
        <f t="shared" si="28"/>
        <v>79850</v>
      </c>
      <c r="N144" s="316">
        <v>6650</v>
      </c>
      <c r="O144" s="306">
        <f t="shared" si="42"/>
        <v>86500</v>
      </c>
      <c r="P144" s="295"/>
      <c r="Q144" s="292" t="s">
        <v>1189</v>
      </c>
      <c r="R144" s="22"/>
      <c r="S144" s="22">
        <f t="shared" si="34"/>
        <v>86500</v>
      </c>
      <c r="T144" s="22">
        <f t="shared" si="38"/>
        <v>123571.42857142858</v>
      </c>
      <c r="U144" s="23">
        <f t="shared" si="39"/>
        <v>141224.48979591837</v>
      </c>
      <c r="V144" s="24">
        <f t="shared" si="40"/>
        <v>0.12499999999999997</v>
      </c>
      <c r="W144" s="23">
        <f t="shared" si="41"/>
        <v>141300</v>
      </c>
      <c r="X144" s="164">
        <f t="shared" si="35"/>
        <v>0.30000000000000004</v>
      </c>
      <c r="Y144" s="25"/>
      <c r="Z144" s="25"/>
      <c r="AA144" s="25"/>
      <c r="AB144" s="34"/>
      <c r="AC144" s="164"/>
      <c r="AD144" s="35"/>
      <c r="AE144" s="36"/>
      <c r="AF144" s="29"/>
      <c r="AG144" s="29"/>
      <c r="AH144" s="30"/>
      <c r="AI144" s="172" t="s">
        <v>608</v>
      </c>
      <c r="AJ144" s="29"/>
      <c r="AK144" s="29"/>
      <c r="AL144" s="30"/>
      <c r="AM144" s="172" t="s">
        <v>608</v>
      </c>
      <c r="AN144" s="29"/>
      <c r="AO144" s="29"/>
      <c r="AP144" s="30"/>
      <c r="AQ144" s="172" t="s">
        <v>608</v>
      </c>
      <c r="AR144" s="29"/>
      <c r="AS144" s="29"/>
      <c r="AT144" s="30"/>
      <c r="AU144" s="172" t="s">
        <v>608</v>
      </c>
      <c r="AV144" s="29"/>
      <c r="AW144" s="29"/>
      <c r="AX144" s="30"/>
      <c r="AY144" s="55"/>
      <c r="AZ144" s="29"/>
      <c r="BA144" s="29"/>
      <c r="BB144" s="30"/>
      <c r="BC144" s="172" t="s">
        <v>751</v>
      </c>
      <c r="BD144" s="29"/>
      <c r="BE144" s="29"/>
      <c r="BF144" s="30"/>
      <c r="BG144" s="55"/>
      <c r="BH144" s="29"/>
      <c r="BI144" s="29"/>
      <c r="BJ144" s="30"/>
      <c r="BK144" s="172" t="s">
        <v>751</v>
      </c>
      <c r="BL144" s="29"/>
      <c r="BM144" s="29"/>
      <c r="BN144" s="30"/>
      <c r="BO144" s="55"/>
      <c r="BP144" s="29"/>
      <c r="BQ144" s="29"/>
      <c r="BR144" s="30"/>
      <c r="BS144" s="55"/>
      <c r="BT144" s="29"/>
      <c r="BU144" s="29"/>
      <c r="BV144" s="30"/>
      <c r="BW144" s="55"/>
      <c r="BX144" s="29"/>
      <c r="BY144" s="29"/>
      <c r="BZ144" s="30"/>
      <c r="CA144" s="31"/>
    </row>
    <row r="145" spans="1:79" hidden="1">
      <c r="B145" s="297"/>
      <c r="C145" s="307" t="s">
        <v>187</v>
      </c>
      <c r="D145" s="299" t="str">
        <f t="shared" si="36"/>
        <v xml:space="preserve"> 258</v>
      </c>
      <c r="E145" s="308" t="s">
        <v>187</v>
      </c>
      <c r="F145" s="301">
        <f t="shared" si="37"/>
        <v>0</v>
      </c>
      <c r="G145" s="302" t="s">
        <v>35</v>
      </c>
      <c r="H145" s="302" t="s">
        <v>1087</v>
      </c>
      <c r="I145" s="302" t="s">
        <v>1120</v>
      </c>
      <c r="J145" s="303">
        <v>86500</v>
      </c>
      <c r="K145" s="312">
        <f t="shared" si="33"/>
        <v>6650</v>
      </c>
      <c r="L145" s="301" t="s">
        <v>69</v>
      </c>
      <c r="M145" s="305">
        <f t="shared" si="28"/>
        <v>79850</v>
      </c>
      <c r="N145" s="316">
        <v>6650</v>
      </c>
      <c r="O145" s="306">
        <f t="shared" si="42"/>
        <v>86500</v>
      </c>
      <c r="P145" s="294"/>
      <c r="Q145" s="292" t="s">
        <v>1189</v>
      </c>
      <c r="R145" s="22"/>
      <c r="S145" s="22">
        <f t="shared" si="34"/>
        <v>86500</v>
      </c>
      <c r="T145" s="22">
        <f t="shared" si="38"/>
        <v>123571.42857142858</v>
      </c>
      <c r="U145" s="23">
        <f t="shared" si="39"/>
        <v>141224.48979591837</v>
      </c>
      <c r="V145" s="24">
        <f t="shared" si="40"/>
        <v>0.12499999999999997</v>
      </c>
      <c r="W145" s="23">
        <f t="shared" si="41"/>
        <v>141300</v>
      </c>
      <c r="X145" s="164">
        <f t="shared" si="35"/>
        <v>0.30000000000000004</v>
      </c>
      <c r="Y145" s="25"/>
      <c r="Z145" s="25"/>
      <c r="AA145" s="25"/>
      <c r="AB145" s="34"/>
      <c r="AC145" s="164"/>
      <c r="AD145" s="35"/>
      <c r="AE145" s="36"/>
      <c r="AF145" s="29"/>
      <c r="AG145" s="29"/>
      <c r="AH145" s="30"/>
      <c r="AI145" s="172" t="s">
        <v>608</v>
      </c>
      <c r="AJ145" s="29"/>
      <c r="AK145" s="29"/>
      <c r="AL145" s="30"/>
      <c r="AM145" s="172" t="s">
        <v>608</v>
      </c>
      <c r="AN145" s="29"/>
      <c r="AO145" s="29"/>
      <c r="AP145" s="30"/>
      <c r="AQ145" s="172" t="s">
        <v>608</v>
      </c>
      <c r="AR145" s="29"/>
      <c r="AS145" s="29"/>
      <c r="AT145" s="30"/>
      <c r="AU145" s="172" t="s">
        <v>608</v>
      </c>
      <c r="AV145" s="29"/>
      <c r="AW145" s="29"/>
      <c r="AX145" s="30"/>
      <c r="AY145" s="55"/>
      <c r="AZ145" s="29"/>
      <c r="BA145" s="29"/>
      <c r="BB145" s="30"/>
      <c r="BC145" s="172" t="s">
        <v>751</v>
      </c>
      <c r="BD145" s="29"/>
      <c r="BE145" s="29"/>
      <c r="BF145" s="30"/>
      <c r="BG145" s="55"/>
      <c r="BH145" s="29"/>
      <c r="BI145" s="29"/>
      <c r="BJ145" s="30"/>
      <c r="BK145" s="172" t="s">
        <v>751</v>
      </c>
      <c r="BL145" s="29"/>
      <c r="BM145" s="29"/>
      <c r="BN145" s="30"/>
      <c r="BO145" s="55"/>
      <c r="BP145" s="29"/>
      <c r="BQ145" s="29"/>
      <c r="BR145" s="30"/>
      <c r="BS145" s="55"/>
      <c r="BT145" s="29"/>
      <c r="BU145" s="29"/>
      <c r="BV145" s="30"/>
      <c r="BW145" s="55"/>
      <c r="BX145" s="29"/>
      <c r="BY145" s="29"/>
      <c r="BZ145" s="30"/>
      <c r="CA145" s="31"/>
    </row>
    <row r="146" spans="1:79" hidden="1">
      <c r="B146" s="297"/>
      <c r="C146" s="307" t="s">
        <v>985</v>
      </c>
      <c r="D146" s="299" t="str">
        <f t="shared" si="36"/>
        <v xml:space="preserve"> 201</v>
      </c>
      <c r="E146" s="308" t="s">
        <v>985</v>
      </c>
      <c r="F146" s="301">
        <f t="shared" si="37"/>
        <v>0</v>
      </c>
      <c r="G146" s="302" t="s">
        <v>1063</v>
      </c>
      <c r="H146" s="302" t="s">
        <v>137</v>
      </c>
      <c r="I146" s="302" t="s">
        <v>1120</v>
      </c>
      <c r="J146" s="303">
        <v>97500</v>
      </c>
      <c r="K146" s="312">
        <f t="shared" si="33"/>
        <v>6950</v>
      </c>
      <c r="L146" s="301" t="s">
        <v>69</v>
      </c>
      <c r="M146" s="305">
        <f t="shared" si="28"/>
        <v>90550</v>
      </c>
      <c r="N146" s="316">
        <v>6950</v>
      </c>
      <c r="O146" s="306">
        <f t="shared" si="42"/>
        <v>97500</v>
      </c>
      <c r="P146" s="295"/>
      <c r="Q146" s="292" t="s">
        <v>1190</v>
      </c>
      <c r="R146" s="22"/>
      <c r="S146" s="22">
        <f t="shared" si="34"/>
        <v>97500</v>
      </c>
      <c r="T146" s="22">
        <f t="shared" si="38"/>
        <v>139285.71428571429</v>
      </c>
      <c r="U146" s="23">
        <f t="shared" si="39"/>
        <v>159183.67346938775</v>
      </c>
      <c r="V146" s="24">
        <f t="shared" si="40"/>
        <v>0.12499999999999996</v>
      </c>
      <c r="W146" s="23">
        <f t="shared" si="41"/>
        <v>159200</v>
      </c>
      <c r="X146" s="164">
        <f t="shared" si="35"/>
        <v>0.30000000000000004</v>
      </c>
      <c r="Y146" s="25"/>
      <c r="Z146" s="25"/>
      <c r="AA146" s="25"/>
      <c r="AB146" s="34"/>
      <c r="AC146" s="164"/>
      <c r="AD146" s="42"/>
      <c r="AE146" s="43"/>
      <c r="AF146" s="29"/>
      <c r="AG146" s="29"/>
      <c r="AH146" s="30"/>
      <c r="AI146" s="172" t="s">
        <v>608</v>
      </c>
      <c r="AJ146" s="29"/>
      <c r="AK146" s="29"/>
      <c r="AL146" s="30"/>
      <c r="AM146" s="172" t="s">
        <v>608</v>
      </c>
      <c r="AN146" s="29"/>
      <c r="AO146" s="29"/>
      <c r="AP146" s="30"/>
      <c r="AQ146" s="172" t="s">
        <v>608</v>
      </c>
      <c r="AR146" s="29"/>
      <c r="AS146" s="29"/>
      <c r="AT146" s="30"/>
      <c r="AU146" s="172" t="s">
        <v>608</v>
      </c>
      <c r="AV146" s="29"/>
      <c r="AW146" s="29"/>
      <c r="AX146" s="30"/>
      <c r="AY146" s="55"/>
      <c r="AZ146" s="29"/>
      <c r="BA146" s="29"/>
      <c r="BB146" s="30"/>
      <c r="BC146" s="172" t="s">
        <v>751</v>
      </c>
      <c r="BD146" s="29"/>
      <c r="BE146" s="29"/>
      <c r="BF146" s="30"/>
      <c r="BG146" s="55"/>
      <c r="BH146" s="29"/>
      <c r="BI146" s="29"/>
      <c r="BJ146" s="30"/>
      <c r="BK146" s="172" t="s">
        <v>751</v>
      </c>
      <c r="BL146" s="29"/>
      <c r="BM146" s="29"/>
      <c r="BN146" s="30"/>
      <c r="BO146" s="55"/>
      <c r="BP146" s="29"/>
      <c r="BQ146" s="29"/>
      <c r="BR146" s="30"/>
      <c r="BS146" s="55"/>
      <c r="BT146" s="29"/>
      <c r="BU146" s="29"/>
      <c r="BV146" s="30"/>
      <c r="BW146" s="55"/>
      <c r="BX146" s="29"/>
      <c r="BY146" s="29"/>
      <c r="BZ146" s="30"/>
      <c r="CA146" s="31"/>
    </row>
    <row r="147" spans="1:79" hidden="1">
      <c r="A147" s="71" t="s">
        <v>1242</v>
      </c>
      <c r="B147" s="297"/>
      <c r="C147" s="307" t="s">
        <v>986</v>
      </c>
      <c r="D147" s="299" t="str">
        <f t="shared" si="36"/>
        <v xml:space="preserve"> 990</v>
      </c>
      <c r="E147" s="308" t="s">
        <v>986</v>
      </c>
      <c r="F147" s="301">
        <f t="shared" si="37"/>
        <v>0</v>
      </c>
      <c r="G147" s="302" t="s">
        <v>1063</v>
      </c>
      <c r="H147" s="302" t="s">
        <v>1073</v>
      </c>
      <c r="I147" s="302" t="s">
        <v>1121</v>
      </c>
      <c r="J147" s="303">
        <v>57400</v>
      </c>
      <c r="K147" s="312">
        <f t="shared" si="33"/>
        <v>7400</v>
      </c>
      <c r="L147" s="301" t="s">
        <v>69</v>
      </c>
      <c r="M147" s="305">
        <f t="shared" si="28"/>
        <v>50000</v>
      </c>
      <c r="N147" s="316">
        <f>2000+200+600+1000+3600</f>
        <v>7400</v>
      </c>
      <c r="O147" s="306">
        <f t="shared" si="42"/>
        <v>57400</v>
      </c>
      <c r="P147" s="295"/>
      <c r="Q147" s="292" t="s">
        <v>1191</v>
      </c>
      <c r="R147" s="22"/>
      <c r="S147" s="22">
        <f t="shared" si="34"/>
        <v>57400</v>
      </c>
      <c r="T147" s="22">
        <f t="shared" si="38"/>
        <v>82000</v>
      </c>
      <c r="U147" s="23">
        <f t="shared" si="39"/>
        <v>93714.28571428571</v>
      </c>
      <c r="V147" s="24">
        <f t="shared" si="40"/>
        <v>0.12499999999999996</v>
      </c>
      <c r="W147" s="23">
        <f t="shared" si="41"/>
        <v>93800</v>
      </c>
      <c r="X147" s="164">
        <f t="shared" si="35"/>
        <v>0.3</v>
      </c>
      <c r="Y147" s="25"/>
      <c r="Z147" s="25"/>
      <c r="AA147" s="25"/>
      <c r="AB147" s="34"/>
      <c r="AC147" s="164"/>
      <c r="AD147" s="35"/>
      <c r="AE147" s="36"/>
      <c r="AF147" s="29"/>
      <c r="AG147" s="29"/>
      <c r="AH147" s="30"/>
      <c r="AI147" s="172" t="s">
        <v>608</v>
      </c>
      <c r="AJ147" s="29"/>
      <c r="AK147" s="29"/>
      <c r="AL147" s="30"/>
      <c r="AM147" s="172" t="s">
        <v>608</v>
      </c>
      <c r="AN147" s="29"/>
      <c r="AO147" s="29"/>
      <c r="AP147" s="30"/>
      <c r="AQ147" s="172" t="s">
        <v>608</v>
      </c>
      <c r="AR147" s="29"/>
      <c r="AS147" s="29"/>
      <c r="AT147" s="30"/>
      <c r="AU147" s="172" t="s">
        <v>608</v>
      </c>
      <c r="AV147" s="29"/>
      <c r="AW147" s="29"/>
      <c r="AX147" s="30"/>
      <c r="AY147" s="55"/>
      <c r="AZ147" s="29"/>
      <c r="BA147" s="29"/>
      <c r="BB147" s="30"/>
      <c r="BC147" s="172" t="s">
        <v>751</v>
      </c>
      <c r="BD147" s="29"/>
      <c r="BE147" s="29"/>
      <c r="BF147" s="30"/>
      <c r="BG147" s="55"/>
      <c r="BH147" s="29"/>
      <c r="BI147" s="29"/>
      <c r="BJ147" s="30"/>
      <c r="BK147" s="172" t="s">
        <v>751</v>
      </c>
      <c r="BL147" s="29"/>
      <c r="BM147" s="29"/>
      <c r="BN147" s="30"/>
      <c r="BO147" s="55"/>
      <c r="BP147" s="29"/>
      <c r="BQ147" s="29"/>
      <c r="BR147" s="30"/>
      <c r="BS147" s="55"/>
      <c r="BT147" s="29"/>
      <c r="BU147" s="29"/>
      <c r="BV147" s="30"/>
      <c r="BW147" s="55"/>
      <c r="BX147" s="29"/>
      <c r="BY147" s="29"/>
      <c r="BZ147" s="30"/>
      <c r="CA147" s="31"/>
    </row>
    <row r="148" spans="1:79" hidden="1">
      <c r="A148" s="71" t="s">
        <v>1242</v>
      </c>
      <c r="B148" s="297"/>
      <c r="C148" s="307" t="s">
        <v>987</v>
      </c>
      <c r="D148" s="299" t="str">
        <f t="shared" si="36"/>
        <v xml:space="preserve"> 208</v>
      </c>
      <c r="E148" s="308" t="s">
        <v>987</v>
      </c>
      <c r="F148" s="301">
        <f t="shared" si="37"/>
        <v>0</v>
      </c>
      <c r="G148" s="302" t="s">
        <v>1063</v>
      </c>
      <c r="H148" s="302" t="s">
        <v>1082</v>
      </c>
      <c r="I148" s="302" t="s">
        <v>1121</v>
      </c>
      <c r="J148" s="303">
        <v>65000</v>
      </c>
      <c r="K148" s="312">
        <f t="shared" si="33"/>
        <v>6650</v>
      </c>
      <c r="L148" s="301" t="s">
        <v>69</v>
      </c>
      <c r="M148" s="305">
        <f t="shared" si="28"/>
        <v>58350</v>
      </c>
      <c r="N148" s="316">
        <f>2000+200+250+600+3600</f>
        <v>6650</v>
      </c>
      <c r="O148" s="306">
        <f>N148+M148</f>
        <v>65000</v>
      </c>
      <c r="P148" s="295"/>
      <c r="Q148" s="292" t="s">
        <v>1163</v>
      </c>
      <c r="R148" s="22"/>
      <c r="S148" s="22">
        <f t="shared" si="34"/>
        <v>65000</v>
      </c>
      <c r="T148" s="22">
        <f t="shared" si="38"/>
        <v>92857.14285714287</v>
      </c>
      <c r="U148" s="23">
        <f t="shared" si="39"/>
        <v>106122.44897959185</v>
      </c>
      <c r="V148" s="24">
        <f t="shared" si="40"/>
        <v>0.12499999999999999</v>
      </c>
      <c r="W148" s="23">
        <f t="shared" si="41"/>
        <v>106200</v>
      </c>
      <c r="X148" s="164">
        <f t="shared" si="35"/>
        <v>0.3000000000000001</v>
      </c>
      <c r="Y148" s="188">
        <v>125714.28571428572</v>
      </c>
      <c r="Z148" s="188">
        <f>T148-Y148</f>
        <v>-32857.142857142855</v>
      </c>
      <c r="AA148" s="189">
        <f>Z148/Y148</f>
        <v>-0.2613636363636363</v>
      </c>
      <c r="AB148" s="34"/>
      <c r="AC148" s="164"/>
      <c r="AD148" s="35"/>
      <c r="AE148" s="36"/>
      <c r="AF148" s="29"/>
      <c r="AG148" s="29"/>
      <c r="AH148" s="30"/>
      <c r="AI148" s="172" t="s">
        <v>608</v>
      </c>
      <c r="AJ148" s="29"/>
      <c r="AK148" s="29"/>
      <c r="AL148" s="30"/>
      <c r="AM148" s="172" t="s">
        <v>608</v>
      </c>
      <c r="AN148" s="29"/>
      <c r="AO148" s="29"/>
      <c r="AP148" s="30"/>
      <c r="AQ148" s="172" t="s">
        <v>608</v>
      </c>
      <c r="AR148" s="29"/>
      <c r="AS148" s="29"/>
      <c r="AT148" s="30"/>
      <c r="AU148" s="172" t="s">
        <v>608</v>
      </c>
      <c r="AV148" s="29"/>
      <c r="AW148" s="29"/>
      <c r="AX148" s="30"/>
      <c r="AY148" s="55"/>
      <c r="AZ148" s="29"/>
      <c r="BA148" s="29"/>
      <c r="BB148" s="30"/>
      <c r="BC148" s="172" t="s">
        <v>751</v>
      </c>
      <c r="BD148" s="29"/>
      <c r="BE148" s="29"/>
      <c r="BF148" s="30"/>
      <c r="BG148" s="55"/>
      <c r="BH148" s="29"/>
      <c r="BI148" s="29"/>
      <c r="BJ148" s="30"/>
      <c r="BK148" s="172" t="s">
        <v>751</v>
      </c>
      <c r="BL148" s="29"/>
      <c r="BM148" s="29"/>
      <c r="BN148" s="30"/>
      <c r="BO148" s="55"/>
      <c r="BP148" s="29"/>
      <c r="BQ148" s="29"/>
      <c r="BR148" s="30"/>
      <c r="BS148" s="55"/>
      <c r="BT148" s="29"/>
      <c r="BU148" s="29"/>
      <c r="BV148" s="30"/>
      <c r="BW148" s="55"/>
      <c r="BX148" s="29"/>
      <c r="BY148" s="29"/>
      <c r="BZ148" s="30"/>
      <c r="CA148" s="31"/>
    </row>
    <row r="149" spans="1:79" hidden="1">
      <c r="A149" s="71" t="s">
        <v>1242</v>
      </c>
      <c r="B149" s="297"/>
      <c r="C149" s="307" t="s">
        <v>988</v>
      </c>
      <c r="D149" s="299" t="str">
        <f t="shared" si="36"/>
        <v xml:space="preserve"> 487</v>
      </c>
      <c r="E149" s="308" t="s">
        <v>988</v>
      </c>
      <c r="F149" s="301">
        <f t="shared" si="37"/>
        <v>0</v>
      </c>
      <c r="G149" s="302" t="s">
        <v>1063</v>
      </c>
      <c r="H149" s="302" t="s">
        <v>1072</v>
      </c>
      <c r="I149" s="302" t="s">
        <v>1121</v>
      </c>
      <c r="J149" s="303">
        <v>133000</v>
      </c>
      <c r="K149" s="312">
        <f t="shared" si="33"/>
        <v>3050</v>
      </c>
      <c r="L149" s="301" t="s">
        <v>69</v>
      </c>
      <c r="M149" s="305">
        <f t="shared" si="28"/>
        <v>129950</v>
      </c>
      <c r="N149" s="316">
        <f>2000+200+250+600</f>
        <v>3050</v>
      </c>
      <c r="O149" s="306">
        <f>N149+M149</f>
        <v>133000</v>
      </c>
      <c r="P149" s="295"/>
      <c r="Q149" s="292" t="s">
        <v>1192</v>
      </c>
      <c r="R149" s="22"/>
      <c r="S149" s="22">
        <f t="shared" si="34"/>
        <v>133000</v>
      </c>
      <c r="T149" s="22">
        <f t="shared" si="38"/>
        <v>190000</v>
      </c>
      <c r="U149" s="23">
        <f t="shared" si="39"/>
        <v>217142.85714285713</v>
      </c>
      <c r="V149" s="24">
        <f t="shared" si="40"/>
        <v>0.12499999999999994</v>
      </c>
      <c r="W149" s="23">
        <f t="shared" si="41"/>
        <v>217200</v>
      </c>
      <c r="X149" s="164">
        <f t="shared" si="35"/>
        <v>0.3</v>
      </c>
      <c r="Y149" s="25"/>
      <c r="Z149" s="25"/>
      <c r="AA149" s="25"/>
      <c r="AB149" s="34"/>
      <c r="AC149" s="164"/>
      <c r="AD149" s="42"/>
      <c r="AE149" s="43"/>
      <c r="AF149" s="29"/>
      <c r="AG149" s="29"/>
      <c r="AH149" s="30"/>
      <c r="AI149" s="172" t="s">
        <v>608</v>
      </c>
      <c r="AJ149" s="29"/>
      <c r="AK149" s="29"/>
      <c r="AL149" s="30"/>
      <c r="AM149" s="172" t="s">
        <v>608</v>
      </c>
      <c r="AN149" s="29"/>
      <c r="AO149" s="29"/>
      <c r="AP149" s="30"/>
      <c r="AQ149" s="172" t="s">
        <v>608</v>
      </c>
      <c r="AR149" s="29"/>
      <c r="AS149" s="29"/>
      <c r="AT149" s="30"/>
      <c r="AU149" s="172" t="s">
        <v>608</v>
      </c>
      <c r="AV149" s="29"/>
      <c r="AW149" s="29"/>
      <c r="AX149" s="30"/>
      <c r="AY149" s="55"/>
      <c r="AZ149" s="29"/>
      <c r="BA149" s="29"/>
      <c r="BB149" s="30"/>
      <c r="BC149" s="172" t="s">
        <v>751</v>
      </c>
      <c r="BD149" s="29"/>
      <c r="BE149" s="29"/>
      <c r="BF149" s="30"/>
      <c r="BG149" s="55"/>
      <c r="BH149" s="29"/>
      <c r="BI149" s="29"/>
      <c r="BJ149" s="30"/>
      <c r="BK149" s="172" t="s">
        <v>751</v>
      </c>
      <c r="BL149" s="29"/>
      <c r="BM149" s="29"/>
      <c r="BN149" s="30"/>
      <c r="BO149" s="55"/>
      <c r="BP149" s="29"/>
      <c r="BQ149" s="29"/>
      <c r="BR149" s="30"/>
      <c r="BS149" s="55"/>
      <c r="BT149" s="29"/>
      <c r="BU149" s="29"/>
      <c r="BV149" s="30"/>
      <c r="BW149" s="55"/>
      <c r="BX149" s="29"/>
      <c r="BY149" s="29"/>
      <c r="BZ149" s="30"/>
      <c r="CA149" s="31"/>
    </row>
    <row r="150" spans="1:79" hidden="1">
      <c r="A150" s="71" t="s">
        <v>1242</v>
      </c>
      <c r="B150" s="297"/>
      <c r="C150" s="307" t="s">
        <v>481</v>
      </c>
      <c r="D150" s="299" t="str">
        <f t="shared" si="36"/>
        <v xml:space="preserve"> 777</v>
      </c>
      <c r="E150" s="308" t="s">
        <v>481</v>
      </c>
      <c r="F150" s="301">
        <f t="shared" si="37"/>
        <v>0</v>
      </c>
      <c r="G150" s="302" t="s">
        <v>35</v>
      </c>
      <c r="H150" s="302" t="s">
        <v>1072</v>
      </c>
      <c r="I150" s="302" t="s">
        <v>1122</v>
      </c>
      <c r="J150" s="303">
        <v>54150</v>
      </c>
      <c r="K150" s="312">
        <f t="shared" si="33"/>
        <v>6650</v>
      </c>
      <c r="L150" s="301" t="s">
        <v>69</v>
      </c>
      <c r="M150" s="305">
        <f t="shared" si="28"/>
        <v>47500</v>
      </c>
      <c r="N150" s="316">
        <f t="shared" ref="N150:N152" si="43">2000+200+250+600+3600</f>
        <v>6650</v>
      </c>
      <c r="O150" s="306">
        <f t="shared" ref="O150:O181" si="44">M150+N150</f>
        <v>54150</v>
      </c>
      <c r="P150" s="295"/>
      <c r="Q150" s="292" t="s">
        <v>1163</v>
      </c>
      <c r="R150" s="22"/>
      <c r="S150" s="22">
        <f t="shared" si="34"/>
        <v>54150</v>
      </c>
      <c r="T150" s="22">
        <f t="shared" si="38"/>
        <v>77357.142857142855</v>
      </c>
      <c r="U150" s="23">
        <f t="shared" si="39"/>
        <v>88408.163265306124</v>
      </c>
      <c r="V150" s="24">
        <f t="shared" si="40"/>
        <v>0.12500000000000003</v>
      </c>
      <c r="W150" s="23">
        <f t="shared" si="41"/>
        <v>88500</v>
      </c>
      <c r="X150" s="164">
        <f t="shared" si="35"/>
        <v>0.3</v>
      </c>
      <c r="Y150" s="25"/>
      <c r="Z150" s="25"/>
      <c r="AA150" s="25"/>
      <c r="AB150" s="34"/>
      <c r="AC150" s="164"/>
      <c r="AD150" s="35"/>
      <c r="AE150" s="36"/>
      <c r="AF150" s="29"/>
      <c r="AG150" s="29"/>
      <c r="AH150" s="30"/>
      <c r="AI150" s="172" t="s">
        <v>608</v>
      </c>
      <c r="AJ150" s="29"/>
      <c r="AK150" s="29"/>
      <c r="AL150" s="30"/>
      <c r="AM150" s="172" t="s">
        <v>608</v>
      </c>
      <c r="AN150" s="29"/>
      <c r="AO150" s="29"/>
      <c r="AP150" s="30"/>
      <c r="AQ150" s="172" t="s">
        <v>608</v>
      </c>
      <c r="AR150" s="29"/>
      <c r="AS150" s="29"/>
      <c r="AT150" s="30"/>
      <c r="AU150" s="172" t="s">
        <v>608</v>
      </c>
      <c r="AV150" s="29"/>
      <c r="AW150" s="29"/>
      <c r="AX150" s="30"/>
      <c r="AY150" s="55"/>
      <c r="AZ150" s="29"/>
      <c r="BA150" s="29"/>
      <c r="BB150" s="30"/>
      <c r="BC150" s="172" t="s">
        <v>751</v>
      </c>
      <c r="BD150" s="29"/>
      <c r="BE150" s="29"/>
      <c r="BF150" s="30"/>
      <c r="BG150" s="55"/>
      <c r="BH150" s="29"/>
      <c r="BI150" s="29"/>
      <c r="BJ150" s="30"/>
      <c r="BK150" s="172" t="s">
        <v>751</v>
      </c>
      <c r="BL150" s="29"/>
      <c r="BM150" s="29"/>
      <c r="BN150" s="30"/>
      <c r="BO150" s="55"/>
      <c r="BP150" s="29"/>
      <c r="BQ150" s="29"/>
      <c r="BR150" s="30"/>
      <c r="BS150" s="55"/>
      <c r="BT150" s="29"/>
      <c r="BU150" s="29"/>
      <c r="BV150" s="30"/>
      <c r="BW150" s="55"/>
      <c r="BX150" s="29"/>
      <c r="BY150" s="29"/>
      <c r="BZ150" s="30"/>
      <c r="CA150" s="31"/>
    </row>
    <row r="151" spans="1:79" hidden="1">
      <c r="A151" s="71" t="s">
        <v>1242</v>
      </c>
      <c r="B151" s="297"/>
      <c r="C151" s="307" t="s">
        <v>989</v>
      </c>
      <c r="D151" s="299" t="str">
        <f t="shared" si="36"/>
        <v xml:space="preserve"> 308</v>
      </c>
      <c r="E151" s="308" t="s">
        <v>989</v>
      </c>
      <c r="F151" s="301">
        <f t="shared" si="37"/>
        <v>0</v>
      </c>
      <c r="G151" s="302" t="s">
        <v>1063</v>
      </c>
      <c r="H151" s="302" t="s">
        <v>1072</v>
      </c>
      <c r="I151" s="302" t="s">
        <v>1122</v>
      </c>
      <c r="J151" s="303">
        <v>52650</v>
      </c>
      <c r="K151" s="312">
        <f t="shared" si="33"/>
        <v>6650</v>
      </c>
      <c r="L151" s="301" t="s">
        <v>69</v>
      </c>
      <c r="M151" s="305">
        <f t="shared" si="28"/>
        <v>46000</v>
      </c>
      <c r="N151" s="316">
        <f t="shared" si="43"/>
        <v>6650</v>
      </c>
      <c r="O151" s="306">
        <f t="shared" si="44"/>
        <v>52650</v>
      </c>
      <c r="P151" s="295"/>
      <c r="Q151" s="292" t="s">
        <v>1163</v>
      </c>
      <c r="R151" s="22"/>
      <c r="S151" s="22">
        <f t="shared" si="34"/>
        <v>52650</v>
      </c>
      <c r="T151" s="22">
        <f t="shared" si="38"/>
        <v>75214.285714285725</v>
      </c>
      <c r="U151" s="23">
        <f t="shared" si="39"/>
        <v>85959.183673469393</v>
      </c>
      <c r="V151" s="24">
        <f t="shared" si="40"/>
        <v>0.12499999999999993</v>
      </c>
      <c r="W151" s="23">
        <f t="shared" si="41"/>
        <v>86000</v>
      </c>
      <c r="X151" s="164">
        <f t="shared" si="35"/>
        <v>0.3000000000000001</v>
      </c>
      <c r="Y151" s="188">
        <v>118571.42857142858</v>
      </c>
      <c r="Z151" s="188">
        <f>T151-Y151</f>
        <v>-43357.142857142855</v>
      </c>
      <c r="AA151" s="189">
        <f>Z151/Y151</f>
        <v>-0.3656626506024096</v>
      </c>
      <c r="AB151" s="34" t="s">
        <v>98</v>
      </c>
      <c r="AC151" s="164">
        <f>AVERAGE(X140,X141,X142,X143,X144,X145,X146,X147,X148,X149,X150,X151)</f>
        <v>0.30000000000000004</v>
      </c>
      <c r="AD151" s="183">
        <f>AVERAGE(T140,T141,T142,T143,T144,T145,T146,T147,T148,T149,T150,T151)</f>
        <v>124547.61904761907</v>
      </c>
      <c r="AE151" s="28">
        <f>AVERAGE(AI151,AM151,AQ151,AU151,BC151,BK151,BO151,BS151,BW151)</f>
        <v>127086.87301587302</v>
      </c>
      <c r="AF151" s="180">
        <v>122478.57142857143</v>
      </c>
      <c r="AG151" s="181">
        <v>116984</v>
      </c>
      <c r="AH151" s="21">
        <f>(AD151-AF151)/AF151</f>
        <v>1.6893139713458249E-2</v>
      </c>
      <c r="AI151" s="41">
        <f>75680.6666666667/0.7</f>
        <v>108115.23809523815</v>
      </c>
      <c r="AJ151" s="180">
        <f>65605/0.7</f>
        <v>93721.42857142858</v>
      </c>
      <c r="AK151" s="180">
        <v>103360</v>
      </c>
      <c r="AL151" s="21">
        <f>(AI151-AJ151)/AJ151</f>
        <v>0.15358077382313387</v>
      </c>
      <c r="AM151" s="59">
        <v>115657</v>
      </c>
      <c r="AN151" s="180">
        <f>78804/0.7</f>
        <v>112577.14285714287</v>
      </c>
      <c r="AO151" s="180">
        <v>108800</v>
      </c>
      <c r="AP151" s="21">
        <f>(AM151-AN151)/AN151</f>
        <v>2.735774833764772E-2</v>
      </c>
      <c r="AQ151" s="44">
        <v>138960</v>
      </c>
      <c r="AR151" s="180">
        <f>95445/0.7</f>
        <v>136350</v>
      </c>
      <c r="AS151" s="180">
        <v>136350</v>
      </c>
      <c r="AT151" s="21">
        <f>(AQ151-AR151)/AR151</f>
        <v>1.914191419141914E-2</v>
      </c>
      <c r="AU151" s="44">
        <v>133971</v>
      </c>
      <c r="AV151" s="180">
        <f>92745/0.7</f>
        <v>132492.85714285716</v>
      </c>
      <c r="AW151" s="180">
        <v>132413</v>
      </c>
      <c r="AX151" s="21">
        <f>(AU151-AV151)/AV151</f>
        <v>1.1156396571243605E-2</v>
      </c>
      <c r="AY151" s="57"/>
      <c r="AZ151" s="29"/>
      <c r="BA151" s="29"/>
      <c r="BB151" s="30"/>
      <c r="BC151" s="44">
        <v>125728</v>
      </c>
      <c r="BD151" s="180">
        <v>122250</v>
      </c>
      <c r="BE151" s="180">
        <v>119009</v>
      </c>
      <c r="BF151" s="21">
        <f>(BC151-BD151)/BD151</f>
        <v>2.8449897750511249E-2</v>
      </c>
      <c r="BG151" s="55"/>
      <c r="BH151" s="29"/>
      <c r="BI151" s="29"/>
      <c r="BJ151" s="30"/>
      <c r="BK151" s="44">
        <v>140090</v>
      </c>
      <c r="BL151" s="180">
        <f>88200/0.7</f>
        <v>126000.00000000001</v>
      </c>
      <c r="BM151" s="180">
        <v>120813</v>
      </c>
      <c r="BN151" s="21">
        <f>(BK151-BL151)/BL151</f>
        <v>0.1118253968253967</v>
      </c>
      <c r="BO151" s="57"/>
      <c r="BP151" s="180">
        <f>87451/0.7</f>
        <v>124930.00000000001</v>
      </c>
      <c r="BQ151" s="29"/>
      <c r="BR151" s="30"/>
      <c r="BS151" s="55"/>
      <c r="BT151" s="29"/>
      <c r="BU151" s="29"/>
      <c r="BV151" s="30"/>
      <c r="BW151" s="55"/>
      <c r="BX151" s="29"/>
      <c r="BY151" s="29"/>
      <c r="BZ151" s="30"/>
      <c r="CA151" s="31"/>
    </row>
    <row r="152" spans="1:79" hidden="1">
      <c r="A152" s="71" t="s">
        <v>1242</v>
      </c>
      <c r="B152" s="297"/>
      <c r="C152" s="307" t="s">
        <v>482</v>
      </c>
      <c r="D152" s="299" t="str">
        <f t="shared" si="36"/>
        <v xml:space="preserve"> 786</v>
      </c>
      <c r="E152" s="308" t="s">
        <v>482</v>
      </c>
      <c r="F152" s="301">
        <f t="shared" si="37"/>
        <v>0</v>
      </c>
      <c r="G152" s="302" t="s">
        <v>35</v>
      </c>
      <c r="H152" s="302" t="s">
        <v>1072</v>
      </c>
      <c r="I152" s="302" t="s">
        <v>1122</v>
      </c>
      <c r="J152" s="303">
        <v>51650</v>
      </c>
      <c r="K152" s="312">
        <f t="shared" si="33"/>
        <v>6650</v>
      </c>
      <c r="L152" s="301" t="s">
        <v>69</v>
      </c>
      <c r="M152" s="305">
        <f t="shared" si="28"/>
        <v>45000</v>
      </c>
      <c r="N152" s="316">
        <f t="shared" si="43"/>
        <v>6650</v>
      </c>
      <c r="O152" s="306">
        <f>M152+N152</f>
        <v>51650</v>
      </c>
      <c r="P152" s="294"/>
      <c r="Q152" s="292" t="s">
        <v>1163</v>
      </c>
      <c r="R152" s="22"/>
      <c r="S152" s="22">
        <f t="shared" si="34"/>
        <v>51650</v>
      </c>
      <c r="T152" s="22">
        <f>S152/0.7</f>
        <v>73785.71428571429</v>
      </c>
      <c r="U152" s="23">
        <f>T152/0.875</f>
        <v>84326.530612244896</v>
      </c>
      <c r="V152" s="24">
        <f>(U152-T152)/U152</f>
        <v>0.12499999999999993</v>
      </c>
      <c r="W152" s="23">
        <f t="shared" si="41"/>
        <v>84400</v>
      </c>
      <c r="X152" s="164">
        <f t="shared" si="35"/>
        <v>0.30000000000000004</v>
      </c>
      <c r="Y152" s="25"/>
      <c r="Z152" s="25"/>
      <c r="AA152" s="25"/>
      <c r="AB152" s="34"/>
      <c r="AC152" s="164"/>
      <c r="AD152" s="35"/>
      <c r="AE152" s="36"/>
      <c r="AF152" s="29"/>
      <c r="AG152" s="29"/>
      <c r="AH152" s="30"/>
      <c r="AI152" s="55"/>
      <c r="AJ152" s="29"/>
      <c r="AK152" s="29"/>
      <c r="AL152" s="30"/>
      <c r="AM152" s="55"/>
      <c r="AN152" s="29"/>
      <c r="AO152" s="29"/>
      <c r="AP152" s="30"/>
      <c r="AQ152" s="55"/>
      <c r="AR152" s="29"/>
      <c r="AS152" s="29"/>
      <c r="AT152" s="30"/>
      <c r="AU152" s="55"/>
      <c r="AV152" s="29"/>
      <c r="AW152" s="29"/>
      <c r="AX152" s="30"/>
      <c r="AY152" s="55"/>
      <c r="AZ152" s="29"/>
      <c r="BA152" s="29"/>
      <c r="BB152" s="30"/>
      <c r="BC152" s="55"/>
      <c r="BD152" s="29"/>
      <c r="BE152" s="29"/>
      <c r="BF152" s="30"/>
      <c r="BG152" s="55"/>
      <c r="BH152" s="29"/>
      <c r="BI152" s="29"/>
      <c r="BJ152" s="30"/>
      <c r="BK152" s="55"/>
      <c r="BL152" s="29"/>
      <c r="BM152" s="29"/>
      <c r="BN152" s="30"/>
      <c r="BO152" s="55"/>
      <c r="BP152" s="29"/>
      <c r="BQ152" s="29"/>
      <c r="BR152" s="30"/>
      <c r="BS152" s="55"/>
      <c r="BT152" s="29"/>
      <c r="BU152" s="29"/>
      <c r="BV152" s="30"/>
      <c r="BW152" s="55"/>
      <c r="BX152" s="29"/>
      <c r="BY152" s="29"/>
      <c r="BZ152" s="30"/>
      <c r="CA152" s="31"/>
    </row>
    <row r="153" spans="1:79" hidden="1">
      <c r="A153" s="71" t="s">
        <v>1242</v>
      </c>
      <c r="B153" s="297"/>
      <c r="C153" s="307" t="s">
        <v>990</v>
      </c>
      <c r="D153" s="299" t="str">
        <f t="shared" si="36"/>
        <v xml:space="preserve"> 363</v>
      </c>
      <c r="E153" s="308" t="s">
        <v>990</v>
      </c>
      <c r="F153" s="301">
        <f t="shared" si="37"/>
        <v>0</v>
      </c>
      <c r="G153" s="302" t="s">
        <v>1063</v>
      </c>
      <c r="H153" s="302" t="s">
        <v>1072</v>
      </c>
      <c r="I153" s="302" t="s">
        <v>1122</v>
      </c>
      <c r="J153" s="303">
        <v>55550</v>
      </c>
      <c r="K153" s="312">
        <f t="shared" si="33"/>
        <v>6050</v>
      </c>
      <c r="L153" s="301" t="s">
        <v>69</v>
      </c>
      <c r="M153" s="305">
        <f t="shared" si="28"/>
        <v>49500</v>
      </c>
      <c r="N153" s="316">
        <f>2000+200+250+600+3000</f>
        <v>6050</v>
      </c>
      <c r="O153" s="306">
        <f>M153+N153</f>
        <v>55550</v>
      </c>
      <c r="P153" s="294"/>
      <c r="Q153" s="292" t="s">
        <v>1165</v>
      </c>
      <c r="R153" s="22"/>
      <c r="S153" s="22">
        <f t="shared" si="34"/>
        <v>55550</v>
      </c>
      <c r="T153" s="22">
        <f>S153/0.7</f>
        <v>79357.142857142855</v>
      </c>
      <c r="U153" s="23">
        <f>T153/0.875</f>
        <v>90693.8775510204</v>
      </c>
      <c r="V153" s="24">
        <f>(U153-T153)/U153</f>
        <v>0.12499999999999994</v>
      </c>
      <c r="W153" s="23">
        <f t="shared" si="41"/>
        <v>90700</v>
      </c>
      <c r="X153" s="164">
        <f t="shared" si="35"/>
        <v>0.3</v>
      </c>
      <c r="Y153" s="25"/>
      <c r="Z153" s="25"/>
      <c r="AA153" s="25"/>
      <c r="AB153" s="34" t="s">
        <v>189</v>
      </c>
      <c r="AC153" s="164">
        <f>AVERAGE(X152,X153)</f>
        <v>0.30000000000000004</v>
      </c>
      <c r="AD153" s="46">
        <f>AVERAGE(T152,T153)</f>
        <v>76571.42857142858</v>
      </c>
      <c r="AE153" s="49"/>
      <c r="AF153" s="29"/>
      <c r="AG153" s="29"/>
      <c r="AH153" s="30"/>
      <c r="AI153" s="55"/>
      <c r="AJ153" s="29"/>
      <c r="AK153" s="29"/>
      <c r="AL153" s="30"/>
      <c r="AM153" s="55"/>
      <c r="AN153" s="29"/>
      <c r="AO153" s="29"/>
      <c r="AP153" s="30"/>
      <c r="AQ153" s="55"/>
      <c r="AR153" s="29"/>
      <c r="AS153" s="29"/>
      <c r="AT153" s="30"/>
      <c r="AU153" s="55"/>
      <c r="AV153" s="29"/>
      <c r="AW153" s="29"/>
      <c r="AX153" s="30"/>
      <c r="AY153" s="55"/>
      <c r="AZ153" s="29"/>
      <c r="BA153" s="29"/>
      <c r="BB153" s="30"/>
      <c r="BC153" s="55"/>
      <c r="BD153" s="29"/>
      <c r="BE153" s="29"/>
      <c r="BF153" s="30"/>
      <c r="BG153" s="55"/>
      <c r="BH153" s="29"/>
      <c r="BI153" s="29"/>
      <c r="BJ153" s="30"/>
      <c r="BK153" s="55"/>
      <c r="BL153" s="29"/>
      <c r="BM153" s="29"/>
      <c r="BN153" s="30"/>
      <c r="BO153" s="55"/>
      <c r="BP153" s="29"/>
      <c r="BQ153" s="29"/>
      <c r="BR153" s="30"/>
      <c r="BS153" s="55"/>
      <c r="BT153" s="29"/>
      <c r="BU153" s="29"/>
      <c r="BV153" s="30"/>
      <c r="BW153" s="55"/>
      <c r="BX153" s="29"/>
      <c r="BY153" s="29"/>
      <c r="BZ153" s="30"/>
      <c r="CA153" s="31"/>
    </row>
    <row r="154" spans="1:79" hidden="1">
      <c r="A154" s="71" t="s">
        <v>1242</v>
      </c>
      <c r="B154" s="297"/>
      <c r="C154" s="307" t="s">
        <v>991</v>
      </c>
      <c r="D154" s="299" t="str">
        <f t="shared" si="36"/>
        <v xml:space="preserve"> 804</v>
      </c>
      <c r="E154" s="308" t="s">
        <v>991</v>
      </c>
      <c r="F154" s="301">
        <f t="shared" si="37"/>
        <v>0</v>
      </c>
      <c r="G154" s="302" t="s">
        <v>1063</v>
      </c>
      <c r="H154" s="302" t="s">
        <v>1072</v>
      </c>
      <c r="I154" s="302" t="s">
        <v>1122</v>
      </c>
      <c r="J154" s="303">
        <v>55650</v>
      </c>
      <c r="K154" s="312">
        <f t="shared" si="33"/>
        <v>6650</v>
      </c>
      <c r="L154" s="301" t="s">
        <v>69</v>
      </c>
      <c r="M154" s="305">
        <f t="shared" si="28"/>
        <v>49000</v>
      </c>
      <c r="N154" s="316">
        <f>2000+200+250+600+3600</f>
        <v>6650</v>
      </c>
      <c r="O154" s="306">
        <f>M154+N154</f>
        <v>55650</v>
      </c>
      <c r="P154" s="294"/>
      <c r="Q154" s="292" t="s">
        <v>1163</v>
      </c>
      <c r="R154" s="22"/>
      <c r="S154" s="22">
        <f t="shared" si="34"/>
        <v>55650</v>
      </c>
      <c r="T154" s="22">
        <f>S154/0.7</f>
        <v>79500</v>
      </c>
      <c r="U154" s="23">
        <f>T154/0.875</f>
        <v>90857.142857142855</v>
      </c>
      <c r="V154" s="24">
        <f>(U154-T154)/U154</f>
        <v>0.12499999999999999</v>
      </c>
      <c r="W154" s="23">
        <f t="shared" si="41"/>
        <v>90900</v>
      </c>
      <c r="X154" s="164">
        <f t="shared" si="35"/>
        <v>0.3</v>
      </c>
      <c r="Y154" s="188">
        <v>102857.14285714287</v>
      </c>
      <c r="Z154" s="188">
        <f>T154-Y154</f>
        <v>-23357.14285714287</v>
      </c>
      <c r="AA154" s="189">
        <f>Z154/Y154</f>
        <v>-0.22708333333333341</v>
      </c>
      <c r="AB154" s="34" t="s">
        <v>173</v>
      </c>
      <c r="AC154" s="164">
        <f>AVERAGE(X155,X154)</f>
        <v>0.30000000000000004</v>
      </c>
      <c r="AD154" s="46">
        <f>AVERAGE(T155,T154)</f>
        <v>73071.42857142858</v>
      </c>
      <c r="AE154" s="49"/>
      <c r="AF154" s="29"/>
      <c r="AG154" s="29"/>
      <c r="AH154" s="30"/>
      <c r="AI154" s="55"/>
      <c r="AJ154" s="29"/>
      <c r="AK154" s="29"/>
      <c r="AL154" s="30"/>
      <c r="AM154" s="55"/>
      <c r="AN154" s="29"/>
      <c r="AO154" s="29"/>
      <c r="AP154" s="30"/>
      <c r="AQ154" s="55"/>
      <c r="AR154" s="29"/>
      <c r="AS154" s="29"/>
      <c r="AT154" s="30"/>
      <c r="AU154" s="55"/>
      <c r="AV154" s="29"/>
      <c r="AW154" s="29"/>
      <c r="AX154" s="30"/>
      <c r="AY154" s="55"/>
      <c r="AZ154" s="29"/>
      <c r="BA154" s="29"/>
      <c r="BB154" s="30"/>
      <c r="BC154" s="55"/>
      <c r="BD154" s="29"/>
      <c r="BE154" s="29"/>
      <c r="BF154" s="30"/>
      <c r="BG154" s="55"/>
      <c r="BH154" s="29"/>
      <c r="BI154" s="29"/>
      <c r="BJ154" s="30"/>
      <c r="BK154" s="55"/>
      <c r="BL154" s="29"/>
      <c r="BM154" s="29"/>
      <c r="BN154" s="30"/>
      <c r="BO154" s="55"/>
      <c r="BP154" s="29"/>
      <c r="BQ154" s="29"/>
      <c r="BR154" s="30"/>
      <c r="BS154" s="55"/>
      <c r="BT154" s="29"/>
      <c r="BU154" s="29"/>
      <c r="BV154" s="30"/>
      <c r="BW154" s="55"/>
      <c r="BX154" s="29"/>
      <c r="BY154" s="29"/>
      <c r="BZ154" s="30"/>
      <c r="CA154" s="31"/>
    </row>
    <row r="155" spans="1:79" hidden="1">
      <c r="A155" s="71" t="s">
        <v>1242</v>
      </c>
      <c r="B155" s="297"/>
      <c r="C155" s="307" t="s">
        <v>992</v>
      </c>
      <c r="D155" s="299" t="str">
        <f t="shared" si="36"/>
        <v xml:space="preserve"> 458</v>
      </c>
      <c r="E155" s="308" t="s">
        <v>992</v>
      </c>
      <c r="F155" s="301">
        <f t="shared" si="37"/>
        <v>0</v>
      </c>
      <c r="G155" s="302" t="s">
        <v>1063</v>
      </c>
      <c r="H155" s="302" t="s">
        <v>1072</v>
      </c>
      <c r="I155" s="302" t="s">
        <v>1122</v>
      </c>
      <c r="J155" s="303">
        <v>46650</v>
      </c>
      <c r="K155" s="312">
        <f t="shared" si="33"/>
        <v>6650</v>
      </c>
      <c r="L155" s="301" t="s">
        <v>69</v>
      </c>
      <c r="M155" s="305">
        <f t="shared" si="28"/>
        <v>40000</v>
      </c>
      <c r="N155" s="316">
        <f>2000+200+250+600+3600</f>
        <v>6650</v>
      </c>
      <c r="O155" s="306">
        <f t="shared" si="44"/>
        <v>46650</v>
      </c>
      <c r="P155" s="294"/>
      <c r="Q155" s="292" t="s">
        <v>1163</v>
      </c>
      <c r="R155" s="22"/>
      <c r="S155" s="22">
        <f t="shared" si="34"/>
        <v>46650</v>
      </c>
      <c r="T155" s="22">
        <f t="shared" si="38"/>
        <v>66642.857142857145</v>
      </c>
      <c r="U155" s="23">
        <f t="shared" si="39"/>
        <v>76163.265306122456</v>
      </c>
      <c r="V155" s="24">
        <f t="shared" si="40"/>
        <v>0.12500000000000006</v>
      </c>
      <c r="W155" s="23">
        <f t="shared" si="41"/>
        <v>76200</v>
      </c>
      <c r="X155" s="164">
        <f t="shared" si="35"/>
        <v>0.30000000000000004</v>
      </c>
      <c r="Y155" s="188">
        <v>101428.57142857143</v>
      </c>
      <c r="Z155" s="188">
        <f>T155-Y155</f>
        <v>-34785.71428571429</v>
      </c>
      <c r="AA155" s="189">
        <f>Z155/Y155</f>
        <v>-0.34295774647887328</v>
      </c>
      <c r="AB155" s="34"/>
      <c r="AC155" s="164"/>
      <c r="AD155" s="35"/>
      <c r="AE155" s="36"/>
      <c r="AF155" s="29"/>
      <c r="AG155" s="29"/>
      <c r="AH155" s="30"/>
      <c r="AI155" s="55"/>
      <c r="AJ155" s="29"/>
      <c r="AK155" s="29"/>
      <c r="AL155" s="30"/>
      <c r="AM155" s="55"/>
      <c r="AN155" s="29"/>
      <c r="AO155" s="29"/>
      <c r="AP155" s="30"/>
      <c r="AQ155" s="55"/>
      <c r="AR155" s="29"/>
      <c r="AS155" s="29"/>
      <c r="AT155" s="30"/>
      <c r="AU155" s="55"/>
      <c r="AV155" s="29"/>
      <c r="AW155" s="29"/>
      <c r="AX155" s="30"/>
      <c r="AY155" s="55"/>
      <c r="AZ155" s="29"/>
      <c r="BA155" s="29"/>
      <c r="BB155" s="30"/>
      <c r="BC155" s="55"/>
      <c r="BD155" s="29"/>
      <c r="BE155" s="29"/>
      <c r="BF155" s="30"/>
      <c r="BG155" s="55"/>
      <c r="BH155" s="29"/>
      <c r="BI155" s="29"/>
      <c r="BJ155" s="30"/>
      <c r="BK155" s="55"/>
      <c r="BL155" s="29"/>
      <c r="BM155" s="29"/>
      <c r="BN155" s="30"/>
      <c r="BO155" s="55"/>
      <c r="BP155" s="29"/>
      <c r="BQ155" s="29"/>
      <c r="BR155" s="30"/>
      <c r="BS155" s="55"/>
      <c r="BT155" s="29"/>
      <c r="BU155" s="29"/>
      <c r="BV155" s="30"/>
      <c r="BW155" s="55"/>
      <c r="BX155" s="29"/>
      <c r="BY155" s="29"/>
      <c r="BZ155" s="30"/>
      <c r="CA155" s="31"/>
    </row>
    <row r="156" spans="1:79">
      <c r="A156" s="71" t="s">
        <v>1242</v>
      </c>
      <c r="B156" s="297"/>
      <c r="C156" s="307" t="s">
        <v>223</v>
      </c>
      <c r="D156" s="299" t="str">
        <f t="shared" si="36"/>
        <v xml:space="preserve"> 653</v>
      </c>
      <c r="E156" s="308" t="s">
        <v>223</v>
      </c>
      <c r="F156" s="301">
        <f t="shared" si="37"/>
        <v>0</v>
      </c>
      <c r="G156" s="302" t="s">
        <v>35</v>
      </c>
      <c r="H156" s="302" t="s">
        <v>1079</v>
      </c>
      <c r="I156" s="302" t="s">
        <v>1123</v>
      </c>
      <c r="J156" s="303">
        <v>70000</v>
      </c>
      <c r="K156" s="312">
        <f t="shared" si="33"/>
        <v>3900</v>
      </c>
      <c r="L156" s="301" t="s">
        <v>69</v>
      </c>
      <c r="M156" s="305">
        <f t="shared" si="28"/>
        <v>66100</v>
      </c>
      <c r="N156" s="316">
        <f>2000+200+350+600+750</f>
        <v>3900</v>
      </c>
      <c r="O156" s="306">
        <f t="shared" si="44"/>
        <v>70000</v>
      </c>
      <c r="P156" s="294"/>
      <c r="Q156" s="292" t="s">
        <v>1193</v>
      </c>
      <c r="R156" s="22"/>
      <c r="S156" s="22">
        <f t="shared" si="34"/>
        <v>70000</v>
      </c>
      <c r="T156" s="22">
        <f t="shared" si="38"/>
        <v>100000</v>
      </c>
      <c r="U156" s="23">
        <f t="shared" si="39"/>
        <v>114285.71428571429</v>
      </c>
      <c r="V156" s="24">
        <f t="shared" si="40"/>
        <v>0.12500000000000003</v>
      </c>
      <c r="W156" s="23">
        <f t="shared" si="41"/>
        <v>114300</v>
      </c>
      <c r="X156" s="164">
        <f t="shared" si="35"/>
        <v>0.3</v>
      </c>
      <c r="Y156" s="188">
        <v>63571</v>
      </c>
      <c r="Z156" s="188">
        <f>T156-Y156</f>
        <v>36429</v>
      </c>
      <c r="AA156" s="189">
        <f>Z156/Y156</f>
        <v>0.57304431265828759</v>
      </c>
      <c r="AB156" s="34"/>
      <c r="AC156" s="164"/>
      <c r="AD156" s="35"/>
      <c r="AE156" s="36"/>
      <c r="AF156" s="29"/>
      <c r="AG156" s="29"/>
      <c r="AH156" s="30"/>
      <c r="AI156" s="172" t="s">
        <v>608</v>
      </c>
      <c r="AJ156" s="29"/>
      <c r="AK156" s="29"/>
      <c r="AL156" s="30"/>
      <c r="AM156" s="172" t="s">
        <v>608</v>
      </c>
      <c r="AN156" s="29"/>
      <c r="AO156" s="29"/>
      <c r="AP156" s="30"/>
      <c r="AQ156" s="172" t="s">
        <v>608</v>
      </c>
      <c r="AR156" s="29"/>
      <c r="AS156" s="29"/>
      <c r="AT156" s="30"/>
      <c r="AU156" s="172" t="s">
        <v>608</v>
      </c>
      <c r="AV156" s="29"/>
      <c r="AW156" s="29"/>
      <c r="AX156" s="30"/>
      <c r="AY156" s="55"/>
      <c r="AZ156" s="29"/>
      <c r="BA156" s="29"/>
      <c r="BB156" s="30"/>
      <c r="BC156" s="55"/>
      <c r="BD156" s="29"/>
      <c r="BE156" s="29"/>
      <c r="BF156" s="30"/>
      <c r="BG156" s="55"/>
      <c r="BH156" s="29"/>
      <c r="BI156" s="29"/>
      <c r="BJ156" s="30"/>
      <c r="BK156" s="172" t="s">
        <v>751</v>
      </c>
      <c r="BL156" s="29"/>
      <c r="BM156" s="29"/>
      <c r="BN156" s="30"/>
      <c r="BO156" s="55"/>
      <c r="BP156" s="29"/>
      <c r="BQ156" s="29"/>
      <c r="BR156" s="30"/>
      <c r="BS156" s="55"/>
      <c r="BT156" s="29"/>
      <c r="BU156" s="29"/>
      <c r="BV156" s="30"/>
      <c r="BW156" s="55"/>
      <c r="BX156" s="29"/>
      <c r="BY156" s="29"/>
      <c r="BZ156" s="30"/>
      <c r="CA156" s="31"/>
    </row>
    <row r="157" spans="1:79">
      <c r="A157" s="71" t="s">
        <v>1242</v>
      </c>
      <c r="B157" s="297"/>
      <c r="C157" s="307" t="s">
        <v>993</v>
      </c>
      <c r="D157" s="299" t="str">
        <f t="shared" si="36"/>
        <v xml:space="preserve"> 211</v>
      </c>
      <c r="E157" s="308" t="s">
        <v>993</v>
      </c>
      <c r="F157" s="301">
        <f t="shared" si="37"/>
        <v>0</v>
      </c>
      <c r="G157" s="302" t="s">
        <v>1063</v>
      </c>
      <c r="H157" s="302" t="s">
        <v>1078</v>
      </c>
      <c r="I157" s="302" t="s">
        <v>1123</v>
      </c>
      <c r="J157" s="303">
        <v>75000</v>
      </c>
      <c r="K157" s="312">
        <f t="shared" si="33"/>
        <v>3900</v>
      </c>
      <c r="L157" s="301" t="s">
        <v>69</v>
      </c>
      <c r="M157" s="305">
        <f t="shared" si="28"/>
        <v>71100</v>
      </c>
      <c r="N157" s="316">
        <f t="shared" ref="N157:N161" si="45">2000+200+350+600+750</f>
        <v>3900</v>
      </c>
      <c r="O157" s="306">
        <f t="shared" si="44"/>
        <v>75000</v>
      </c>
      <c r="P157" s="294"/>
      <c r="Q157" s="292" t="s">
        <v>1193</v>
      </c>
      <c r="R157" s="22"/>
      <c r="S157" s="22">
        <f t="shared" si="34"/>
        <v>75000</v>
      </c>
      <c r="T157" s="22">
        <f t="shared" si="38"/>
        <v>107142.85714285714</v>
      </c>
      <c r="U157" s="23">
        <f t="shared" si="39"/>
        <v>122448.97959183673</v>
      </c>
      <c r="V157" s="24">
        <f t="shared" si="40"/>
        <v>0.12499999999999996</v>
      </c>
      <c r="W157" s="23">
        <f t="shared" si="41"/>
        <v>122500</v>
      </c>
      <c r="X157" s="164">
        <f t="shared" si="35"/>
        <v>0.3</v>
      </c>
      <c r="Y157" s="25"/>
      <c r="Z157" s="25"/>
      <c r="AA157" s="25"/>
      <c r="AB157" s="34"/>
      <c r="AC157" s="164"/>
      <c r="AD157" s="35"/>
      <c r="AE157" s="36"/>
      <c r="AF157" s="29"/>
      <c r="AG157" s="29"/>
      <c r="AH157" s="30"/>
      <c r="AI157" s="172" t="s">
        <v>608</v>
      </c>
      <c r="AJ157" s="29"/>
      <c r="AK157" s="29"/>
      <c r="AL157" s="30"/>
      <c r="AM157" s="172" t="s">
        <v>608</v>
      </c>
      <c r="AN157" s="29"/>
      <c r="AO157" s="29"/>
      <c r="AP157" s="30"/>
      <c r="AQ157" s="172" t="s">
        <v>608</v>
      </c>
      <c r="AR157" s="29"/>
      <c r="AS157" s="29"/>
      <c r="AT157" s="30"/>
      <c r="AU157" s="172" t="s">
        <v>608</v>
      </c>
      <c r="AV157" s="29"/>
      <c r="AW157" s="29"/>
      <c r="AX157" s="30"/>
      <c r="AY157" s="55"/>
      <c r="AZ157" s="29"/>
      <c r="BA157" s="29"/>
      <c r="BB157" s="30"/>
      <c r="BC157" s="55"/>
      <c r="BD157" s="29"/>
      <c r="BE157" s="29"/>
      <c r="BF157" s="30"/>
      <c r="BG157" s="55"/>
      <c r="BH157" s="29"/>
      <c r="BI157" s="29"/>
      <c r="BJ157" s="30"/>
      <c r="BK157" s="172" t="s">
        <v>751</v>
      </c>
      <c r="BL157" s="29"/>
      <c r="BM157" s="29"/>
      <c r="BN157" s="30"/>
      <c r="BO157" s="55"/>
      <c r="BP157" s="29"/>
      <c r="BQ157" s="29"/>
      <c r="BR157" s="30"/>
      <c r="BS157" s="55"/>
      <c r="BT157" s="29"/>
      <c r="BU157" s="29"/>
      <c r="BV157" s="30"/>
      <c r="BW157" s="55"/>
      <c r="BX157" s="29"/>
      <c r="BY157" s="29"/>
      <c r="BZ157" s="30"/>
      <c r="CA157" s="31"/>
    </row>
    <row r="158" spans="1:79">
      <c r="A158" s="71" t="s">
        <v>1242</v>
      </c>
      <c r="B158" s="297"/>
      <c r="C158" s="307" t="s">
        <v>994</v>
      </c>
      <c r="D158" s="299" t="str">
        <f t="shared" si="36"/>
        <v xml:space="preserve"> 299</v>
      </c>
      <c r="E158" s="308" t="s">
        <v>994</v>
      </c>
      <c r="F158" s="301">
        <f t="shared" si="37"/>
        <v>0</v>
      </c>
      <c r="G158" s="302" t="s">
        <v>1063</v>
      </c>
      <c r="H158" s="302" t="s">
        <v>1078</v>
      </c>
      <c r="I158" s="302" t="s">
        <v>1123</v>
      </c>
      <c r="J158" s="303">
        <v>75000</v>
      </c>
      <c r="K158" s="312">
        <f t="shared" si="33"/>
        <v>3900</v>
      </c>
      <c r="L158" s="301" t="s">
        <v>69</v>
      </c>
      <c r="M158" s="305">
        <f t="shared" si="28"/>
        <v>71100</v>
      </c>
      <c r="N158" s="316">
        <f t="shared" si="45"/>
        <v>3900</v>
      </c>
      <c r="O158" s="306">
        <f t="shared" si="44"/>
        <v>75000</v>
      </c>
      <c r="P158" s="294"/>
      <c r="Q158" s="292" t="s">
        <v>1193</v>
      </c>
      <c r="R158" s="22"/>
      <c r="S158" s="22">
        <f t="shared" si="34"/>
        <v>75000</v>
      </c>
      <c r="T158" s="22">
        <f t="shared" si="38"/>
        <v>107142.85714285714</v>
      </c>
      <c r="U158" s="23">
        <f t="shared" si="39"/>
        <v>122448.97959183673</v>
      </c>
      <c r="V158" s="24">
        <f t="shared" si="40"/>
        <v>0.12499999999999996</v>
      </c>
      <c r="W158" s="23">
        <f t="shared" si="41"/>
        <v>122500</v>
      </c>
      <c r="X158" s="164">
        <f t="shared" si="35"/>
        <v>0.3</v>
      </c>
      <c r="Y158" s="188">
        <v>72357</v>
      </c>
      <c r="Z158" s="188">
        <f>T158-Y158</f>
        <v>34785.857142857145</v>
      </c>
      <c r="AA158" s="189">
        <f>Z158/Y158</f>
        <v>0.48075317029253761</v>
      </c>
      <c r="AB158" s="34"/>
      <c r="AC158" s="164"/>
      <c r="AD158" s="35"/>
      <c r="AE158" s="36"/>
      <c r="AF158" s="29"/>
      <c r="AG158" s="29"/>
      <c r="AH158" s="30"/>
      <c r="AI158" s="172" t="s">
        <v>608</v>
      </c>
      <c r="AJ158" s="29"/>
      <c r="AK158" s="29"/>
      <c r="AL158" s="30"/>
      <c r="AM158" s="172" t="s">
        <v>608</v>
      </c>
      <c r="AN158" s="29"/>
      <c r="AO158" s="29"/>
      <c r="AP158" s="30"/>
      <c r="AQ158" s="172" t="s">
        <v>608</v>
      </c>
      <c r="AR158" s="29"/>
      <c r="AS158" s="29"/>
      <c r="AT158" s="30"/>
      <c r="AU158" s="172" t="s">
        <v>608</v>
      </c>
      <c r="AV158" s="29"/>
      <c r="AW158" s="29"/>
      <c r="AX158" s="30"/>
      <c r="AY158" s="55"/>
      <c r="AZ158" s="29"/>
      <c r="BA158" s="29"/>
      <c r="BB158" s="30"/>
      <c r="BC158" s="55"/>
      <c r="BD158" s="29"/>
      <c r="BE158" s="29"/>
      <c r="BF158" s="30"/>
      <c r="BG158" s="55"/>
      <c r="BH158" s="29"/>
      <c r="BI158" s="29"/>
      <c r="BJ158" s="30"/>
      <c r="BK158" s="172" t="s">
        <v>751</v>
      </c>
      <c r="BL158" s="29"/>
      <c r="BM158" s="29"/>
      <c r="BN158" s="30"/>
      <c r="BO158" s="55"/>
      <c r="BP158" s="29"/>
      <c r="BQ158" s="29"/>
      <c r="BR158" s="30"/>
      <c r="BS158" s="55"/>
      <c r="BT158" s="29"/>
      <c r="BU158" s="29"/>
      <c r="BV158" s="30"/>
      <c r="BW158" s="55"/>
      <c r="BX158" s="29"/>
      <c r="BY158" s="29"/>
      <c r="BZ158" s="30"/>
      <c r="CA158" s="31"/>
    </row>
    <row r="159" spans="1:79">
      <c r="A159" s="71" t="s">
        <v>1242</v>
      </c>
      <c r="B159" s="297"/>
      <c r="C159" s="307" t="s">
        <v>995</v>
      </c>
      <c r="D159" s="299" t="str">
        <f t="shared" si="36"/>
        <v xml:space="preserve"> 388</v>
      </c>
      <c r="E159" s="308" t="s">
        <v>995</v>
      </c>
      <c r="F159" s="301">
        <f t="shared" si="37"/>
        <v>0</v>
      </c>
      <c r="G159" s="302" t="s">
        <v>1063</v>
      </c>
      <c r="H159" s="302" t="s">
        <v>1078</v>
      </c>
      <c r="I159" s="302" t="s">
        <v>1123</v>
      </c>
      <c r="J159" s="303">
        <v>72500</v>
      </c>
      <c r="K159" s="312">
        <f t="shared" si="33"/>
        <v>3900</v>
      </c>
      <c r="L159" s="301" t="s">
        <v>69</v>
      </c>
      <c r="M159" s="305">
        <f t="shared" si="28"/>
        <v>68600</v>
      </c>
      <c r="N159" s="316">
        <f t="shared" si="45"/>
        <v>3900</v>
      </c>
      <c r="O159" s="306">
        <f t="shared" si="44"/>
        <v>72500</v>
      </c>
      <c r="P159" s="294"/>
      <c r="Q159" s="292" t="s">
        <v>1193</v>
      </c>
      <c r="R159" s="22"/>
      <c r="S159" s="22">
        <f t="shared" si="34"/>
        <v>72500</v>
      </c>
      <c r="T159" s="22">
        <f t="shared" si="38"/>
        <v>103571.42857142858</v>
      </c>
      <c r="U159" s="23">
        <f t="shared" si="39"/>
        <v>118367.34693877552</v>
      </c>
      <c r="V159" s="24">
        <f t="shared" si="40"/>
        <v>0.12499999999999999</v>
      </c>
      <c r="W159" s="23">
        <f t="shared" si="41"/>
        <v>118400</v>
      </c>
      <c r="X159" s="164">
        <f t="shared" si="35"/>
        <v>0.30000000000000004</v>
      </c>
      <c r="Y159" s="25"/>
      <c r="Z159" s="25"/>
      <c r="AA159" s="25"/>
      <c r="AB159" s="34"/>
      <c r="AC159" s="164"/>
      <c r="AD159" s="35"/>
      <c r="AE159" s="36"/>
      <c r="AF159" s="29"/>
      <c r="AG159" s="29"/>
      <c r="AH159" s="30"/>
      <c r="AI159" s="172" t="s">
        <v>608</v>
      </c>
      <c r="AJ159" s="29"/>
      <c r="AK159" s="29"/>
      <c r="AL159" s="30"/>
      <c r="AM159" s="172" t="s">
        <v>608</v>
      </c>
      <c r="AN159" s="29"/>
      <c r="AO159" s="29"/>
      <c r="AP159" s="30"/>
      <c r="AQ159" s="172" t="s">
        <v>608</v>
      </c>
      <c r="AR159" s="29"/>
      <c r="AS159" s="29"/>
      <c r="AT159" s="30"/>
      <c r="AU159" s="172" t="s">
        <v>608</v>
      </c>
      <c r="AV159" s="29"/>
      <c r="AW159" s="29"/>
      <c r="AX159" s="30"/>
      <c r="AY159" s="55"/>
      <c r="AZ159" s="29"/>
      <c r="BA159" s="29"/>
      <c r="BB159" s="30"/>
      <c r="BC159" s="55"/>
      <c r="BD159" s="29"/>
      <c r="BE159" s="29"/>
      <c r="BF159" s="30"/>
      <c r="BG159" s="55"/>
      <c r="BH159" s="29"/>
      <c r="BI159" s="29"/>
      <c r="BJ159" s="30"/>
      <c r="BK159" s="172" t="s">
        <v>751</v>
      </c>
      <c r="BL159" s="29"/>
      <c r="BM159" s="29"/>
      <c r="BN159" s="30"/>
      <c r="BO159" s="55"/>
      <c r="BP159" s="29"/>
      <c r="BQ159" s="29"/>
      <c r="BR159" s="30"/>
      <c r="BS159" s="55"/>
      <c r="BT159" s="29"/>
      <c r="BU159" s="29"/>
      <c r="BV159" s="30"/>
      <c r="BW159" s="55"/>
      <c r="BX159" s="29"/>
      <c r="BY159" s="29"/>
      <c r="BZ159" s="30"/>
      <c r="CA159" s="31"/>
    </row>
    <row r="160" spans="1:79">
      <c r="A160" s="71" t="s">
        <v>1242</v>
      </c>
      <c r="B160" s="297"/>
      <c r="C160" s="307" t="s">
        <v>996</v>
      </c>
      <c r="D160" s="299" t="str">
        <f t="shared" si="36"/>
        <v xml:space="preserve"> 823</v>
      </c>
      <c r="E160" s="308" t="s">
        <v>996</v>
      </c>
      <c r="F160" s="301">
        <f t="shared" si="37"/>
        <v>0</v>
      </c>
      <c r="G160" s="302" t="s">
        <v>1063</v>
      </c>
      <c r="H160" s="302" t="s">
        <v>1078</v>
      </c>
      <c r="I160" s="302" t="s">
        <v>1123</v>
      </c>
      <c r="J160" s="303">
        <v>72500</v>
      </c>
      <c r="K160" s="312">
        <f t="shared" si="33"/>
        <v>3900</v>
      </c>
      <c r="L160" s="301" t="s">
        <v>69</v>
      </c>
      <c r="M160" s="305">
        <f t="shared" ref="M160:M183" si="46">J160-N160</f>
        <v>68600</v>
      </c>
      <c r="N160" s="316">
        <f t="shared" si="45"/>
        <v>3900</v>
      </c>
      <c r="O160" s="306">
        <f t="shared" si="44"/>
        <v>72500</v>
      </c>
      <c r="P160" s="294"/>
      <c r="Q160" s="292" t="s">
        <v>1193</v>
      </c>
      <c r="R160" s="22"/>
      <c r="S160" s="22">
        <f t="shared" si="34"/>
        <v>72500</v>
      </c>
      <c r="T160" s="22">
        <f t="shared" si="38"/>
        <v>103571.42857142858</v>
      </c>
      <c r="U160" s="23">
        <f t="shared" si="39"/>
        <v>118367.34693877552</v>
      </c>
      <c r="V160" s="24">
        <f t="shared" si="40"/>
        <v>0.12499999999999999</v>
      </c>
      <c r="W160" s="23">
        <f t="shared" si="41"/>
        <v>118400</v>
      </c>
      <c r="X160" s="164">
        <f t="shared" si="35"/>
        <v>0.30000000000000004</v>
      </c>
      <c r="Y160" s="25"/>
      <c r="Z160" s="25"/>
      <c r="AA160" s="37"/>
      <c r="AB160" s="26"/>
      <c r="AC160" s="164"/>
      <c r="AD160" s="35"/>
      <c r="AE160" s="36"/>
      <c r="AF160" s="29"/>
      <c r="AG160" s="29"/>
      <c r="AH160" s="30"/>
      <c r="AI160" s="172" t="s">
        <v>608</v>
      </c>
      <c r="AJ160" s="29"/>
      <c r="AK160" s="29"/>
      <c r="AL160" s="30"/>
      <c r="AM160" s="172" t="s">
        <v>608</v>
      </c>
      <c r="AN160" s="29"/>
      <c r="AO160" s="29"/>
      <c r="AP160" s="30"/>
      <c r="AQ160" s="172" t="s">
        <v>608</v>
      </c>
      <c r="AR160" s="29"/>
      <c r="AS160" s="29"/>
      <c r="AT160" s="30"/>
      <c r="AU160" s="172" t="s">
        <v>608</v>
      </c>
      <c r="AV160" s="29"/>
      <c r="AW160" s="29"/>
      <c r="AX160" s="30"/>
      <c r="AY160" s="55"/>
      <c r="AZ160" s="29"/>
      <c r="BA160" s="29"/>
      <c r="BB160" s="30"/>
      <c r="BC160" s="55"/>
      <c r="BD160" s="29"/>
      <c r="BE160" s="29"/>
      <c r="BF160" s="30"/>
      <c r="BG160" s="55"/>
      <c r="BH160" s="29"/>
      <c r="BI160" s="29"/>
      <c r="BJ160" s="30"/>
      <c r="BK160" s="172" t="s">
        <v>751</v>
      </c>
      <c r="BL160" s="29"/>
      <c r="BM160" s="29"/>
      <c r="BN160" s="30"/>
      <c r="BO160" s="55"/>
      <c r="BP160" s="29"/>
      <c r="BQ160" s="29"/>
      <c r="BR160" s="30"/>
      <c r="BS160" s="55"/>
      <c r="BT160" s="29"/>
      <c r="BU160" s="29"/>
      <c r="BV160" s="30"/>
      <c r="BW160" s="55"/>
      <c r="BX160" s="29"/>
      <c r="BY160" s="29"/>
      <c r="BZ160" s="30"/>
      <c r="CA160" s="31"/>
    </row>
    <row r="161" spans="1:79">
      <c r="A161" s="71" t="s">
        <v>1242</v>
      </c>
      <c r="B161" s="297"/>
      <c r="C161" s="307" t="s">
        <v>660</v>
      </c>
      <c r="D161" s="299" t="str">
        <f t="shared" si="36"/>
        <v xml:space="preserve"> 900</v>
      </c>
      <c r="E161" s="308" t="s">
        <v>660</v>
      </c>
      <c r="F161" s="301">
        <f t="shared" si="37"/>
        <v>0</v>
      </c>
      <c r="G161" s="302" t="s">
        <v>35</v>
      </c>
      <c r="H161" s="302" t="s">
        <v>1079</v>
      </c>
      <c r="I161" s="302" t="s">
        <v>1123</v>
      </c>
      <c r="J161" s="303">
        <v>70000</v>
      </c>
      <c r="K161" s="312">
        <f t="shared" si="33"/>
        <v>3900</v>
      </c>
      <c r="L161" s="301" t="s">
        <v>69</v>
      </c>
      <c r="M161" s="305">
        <f t="shared" si="46"/>
        <v>66100</v>
      </c>
      <c r="N161" s="316">
        <f t="shared" si="45"/>
        <v>3900</v>
      </c>
      <c r="O161" s="306">
        <f t="shared" si="44"/>
        <v>70000</v>
      </c>
      <c r="P161" s="294"/>
      <c r="Q161" s="292" t="s">
        <v>1193</v>
      </c>
      <c r="R161" s="22"/>
      <c r="S161" s="22">
        <f t="shared" si="34"/>
        <v>70000</v>
      </c>
      <c r="T161" s="22">
        <f t="shared" si="38"/>
        <v>100000</v>
      </c>
      <c r="U161" s="23">
        <f t="shared" si="39"/>
        <v>114285.71428571429</v>
      </c>
      <c r="V161" s="24">
        <f t="shared" si="40"/>
        <v>0.12500000000000003</v>
      </c>
      <c r="W161" s="23">
        <f t="shared" si="41"/>
        <v>114300</v>
      </c>
      <c r="X161" s="164">
        <f t="shared" si="35"/>
        <v>0.3</v>
      </c>
      <c r="Y161" s="25"/>
      <c r="Z161" s="25"/>
      <c r="AA161" s="25"/>
      <c r="AB161" s="34"/>
      <c r="AC161" s="164"/>
      <c r="AD161" s="35"/>
      <c r="AE161" s="36"/>
      <c r="AF161" s="29"/>
      <c r="AG161" s="29"/>
      <c r="AH161" s="30"/>
      <c r="AI161" s="172" t="s">
        <v>608</v>
      </c>
      <c r="AJ161" s="29"/>
      <c r="AK161" s="29"/>
      <c r="AL161" s="30"/>
      <c r="AM161" s="172" t="s">
        <v>608</v>
      </c>
      <c r="AN161" s="29"/>
      <c r="AO161" s="29"/>
      <c r="AP161" s="30"/>
      <c r="AQ161" s="172" t="s">
        <v>608</v>
      </c>
      <c r="AR161" s="29"/>
      <c r="AS161" s="29"/>
      <c r="AT161" s="30"/>
      <c r="AU161" s="172" t="s">
        <v>608</v>
      </c>
      <c r="AV161" s="29"/>
      <c r="AW161" s="29"/>
      <c r="AX161" s="30"/>
      <c r="AY161" s="55"/>
      <c r="AZ161" s="29"/>
      <c r="BA161" s="29"/>
      <c r="BB161" s="30"/>
      <c r="BC161" s="55"/>
      <c r="BD161" s="29"/>
      <c r="BE161" s="29"/>
      <c r="BF161" s="30"/>
      <c r="BG161" s="55"/>
      <c r="BH161" s="29"/>
      <c r="BI161" s="29"/>
      <c r="BJ161" s="30"/>
      <c r="BK161" s="172" t="s">
        <v>751</v>
      </c>
      <c r="BL161" s="29"/>
      <c r="BM161" s="29"/>
      <c r="BN161" s="30"/>
      <c r="BO161" s="55"/>
      <c r="BP161" s="29"/>
      <c r="BQ161" s="29"/>
      <c r="BR161" s="30"/>
      <c r="BS161" s="55"/>
      <c r="BT161" s="29"/>
      <c r="BU161" s="29"/>
      <c r="BV161" s="30"/>
      <c r="BW161" s="55"/>
      <c r="BX161" s="29"/>
      <c r="BY161" s="29"/>
      <c r="BZ161" s="30"/>
      <c r="CA161" s="31"/>
    </row>
    <row r="162" spans="1:79" hidden="1">
      <c r="B162" s="297"/>
      <c r="C162" s="307" t="s">
        <v>794</v>
      </c>
      <c r="D162" s="299" t="str">
        <f t="shared" si="36"/>
        <v xml:space="preserve"> 223</v>
      </c>
      <c r="E162" s="308" t="s">
        <v>794</v>
      </c>
      <c r="F162" s="301">
        <f t="shared" si="37"/>
        <v>0</v>
      </c>
      <c r="G162" s="302" t="s">
        <v>35</v>
      </c>
      <c r="H162" s="302" t="s">
        <v>1081</v>
      </c>
      <c r="I162" s="302" t="s">
        <v>1124</v>
      </c>
      <c r="J162" s="303">
        <v>92500</v>
      </c>
      <c r="K162" s="312">
        <f t="shared" si="33"/>
        <v>7500</v>
      </c>
      <c r="L162" s="301" t="s">
        <v>69</v>
      </c>
      <c r="M162" s="305">
        <f t="shared" si="46"/>
        <v>85000</v>
      </c>
      <c r="N162" s="316">
        <v>7500</v>
      </c>
      <c r="O162" s="306">
        <f t="shared" si="44"/>
        <v>92500</v>
      </c>
      <c r="P162" s="294"/>
      <c r="Q162" s="292" t="s">
        <v>1178</v>
      </c>
      <c r="R162" s="22"/>
      <c r="S162" s="22">
        <f t="shared" si="34"/>
        <v>92500</v>
      </c>
      <c r="T162" s="22">
        <f t="shared" si="38"/>
        <v>132142.85714285716</v>
      </c>
      <c r="U162" s="23">
        <f t="shared" si="39"/>
        <v>151020.40816326533</v>
      </c>
      <c r="V162" s="24">
        <f t="shared" si="40"/>
        <v>0.125</v>
      </c>
      <c r="W162" s="23">
        <f t="shared" si="41"/>
        <v>151100</v>
      </c>
      <c r="X162" s="164">
        <f t="shared" si="35"/>
        <v>0.3000000000000001</v>
      </c>
      <c r="Y162" s="188">
        <v>79500</v>
      </c>
      <c r="Z162" s="188">
        <f>T162-Y162</f>
        <v>52642.857142857159</v>
      </c>
      <c r="AA162" s="189">
        <f>Z162/Y162</f>
        <v>0.66217430368373786</v>
      </c>
      <c r="AB162" s="34"/>
      <c r="AC162" s="164"/>
      <c r="AD162" s="35"/>
      <c r="AE162" s="36"/>
      <c r="AF162" s="29"/>
      <c r="AG162" s="29"/>
      <c r="AH162" s="30"/>
      <c r="AI162" s="172" t="s">
        <v>608</v>
      </c>
      <c r="AJ162" s="29"/>
      <c r="AK162" s="29"/>
      <c r="AL162" s="30"/>
      <c r="AM162" s="172" t="s">
        <v>608</v>
      </c>
      <c r="AN162" s="29"/>
      <c r="AO162" s="29"/>
      <c r="AP162" s="30"/>
      <c r="AQ162" s="172" t="s">
        <v>608</v>
      </c>
      <c r="AR162" s="29"/>
      <c r="AS162" s="29"/>
      <c r="AT162" s="30"/>
      <c r="AU162" s="172" t="s">
        <v>608</v>
      </c>
      <c r="AV162" s="29"/>
      <c r="AW162" s="29"/>
      <c r="AX162" s="30"/>
      <c r="AY162" s="55"/>
      <c r="AZ162" s="29"/>
      <c r="BA162" s="29"/>
      <c r="BB162" s="30"/>
      <c r="BC162" s="55"/>
      <c r="BD162" s="29"/>
      <c r="BE162" s="29"/>
      <c r="BF162" s="30"/>
      <c r="BG162" s="55"/>
      <c r="BH162" s="29"/>
      <c r="BI162" s="29"/>
      <c r="BJ162" s="30"/>
      <c r="BK162" s="172" t="s">
        <v>751</v>
      </c>
      <c r="BL162" s="29"/>
      <c r="BM162" s="29"/>
      <c r="BN162" s="30"/>
      <c r="BO162" s="55"/>
      <c r="BP162" s="29"/>
      <c r="BQ162" s="29"/>
      <c r="BR162" s="30"/>
      <c r="BS162" s="55"/>
      <c r="BT162" s="29"/>
      <c r="BU162" s="29"/>
      <c r="BV162" s="30"/>
      <c r="BW162" s="55"/>
      <c r="BX162" s="29"/>
      <c r="BY162" s="29"/>
      <c r="BZ162" s="30"/>
      <c r="CA162" s="31"/>
    </row>
    <row r="163" spans="1:79" hidden="1">
      <c r="B163" s="297"/>
      <c r="C163" s="307" t="s">
        <v>825</v>
      </c>
      <c r="D163" s="299" t="str">
        <f t="shared" si="36"/>
        <v xml:space="preserve"> 754</v>
      </c>
      <c r="E163" s="308" t="s">
        <v>825</v>
      </c>
      <c r="F163" s="301">
        <f t="shared" si="37"/>
        <v>0</v>
      </c>
      <c r="G163" s="302" t="s">
        <v>35</v>
      </c>
      <c r="H163" s="302" t="s">
        <v>1081</v>
      </c>
      <c r="I163" s="302" t="s">
        <v>1124</v>
      </c>
      <c r="J163" s="303">
        <v>70000</v>
      </c>
      <c r="K163" s="312">
        <f t="shared" si="33"/>
        <v>7150</v>
      </c>
      <c r="L163" s="301" t="s">
        <v>69</v>
      </c>
      <c r="M163" s="305">
        <f t="shared" si="46"/>
        <v>62850</v>
      </c>
      <c r="N163" s="316">
        <v>7150</v>
      </c>
      <c r="O163" s="306">
        <f t="shared" si="44"/>
        <v>70000</v>
      </c>
      <c r="P163" s="294"/>
      <c r="Q163" s="292" t="s">
        <v>1194</v>
      </c>
      <c r="R163" s="22"/>
      <c r="S163" s="22">
        <f t="shared" si="34"/>
        <v>70000</v>
      </c>
      <c r="T163" s="22">
        <f t="shared" si="38"/>
        <v>100000</v>
      </c>
      <c r="U163" s="23">
        <f t="shared" si="39"/>
        <v>114285.71428571429</v>
      </c>
      <c r="V163" s="24">
        <f t="shared" si="40"/>
        <v>0.12500000000000003</v>
      </c>
      <c r="W163" s="23">
        <f t="shared" si="41"/>
        <v>114300</v>
      </c>
      <c r="X163" s="164">
        <f t="shared" si="35"/>
        <v>0.3</v>
      </c>
      <c r="Y163" s="25"/>
      <c r="Z163" s="25"/>
      <c r="AA163" s="37"/>
      <c r="AB163" s="26"/>
      <c r="AC163" s="164"/>
      <c r="AD163" s="35"/>
      <c r="AE163" s="36"/>
      <c r="AF163" s="29"/>
      <c r="AG163" s="29"/>
      <c r="AH163" s="30"/>
      <c r="AI163" s="172" t="s">
        <v>608</v>
      </c>
      <c r="AJ163" s="29"/>
      <c r="AK163" s="29"/>
      <c r="AL163" s="30"/>
      <c r="AM163" s="172" t="s">
        <v>608</v>
      </c>
      <c r="AN163" s="29"/>
      <c r="AO163" s="29"/>
      <c r="AP163" s="30"/>
      <c r="AQ163" s="172" t="s">
        <v>608</v>
      </c>
      <c r="AR163" s="29"/>
      <c r="AS163" s="29"/>
      <c r="AT163" s="30"/>
      <c r="AU163" s="172" t="s">
        <v>608</v>
      </c>
      <c r="AV163" s="29"/>
      <c r="AW163" s="29"/>
      <c r="AX163" s="30"/>
      <c r="AY163" s="55"/>
      <c r="AZ163" s="29"/>
      <c r="BA163" s="29"/>
      <c r="BB163" s="30"/>
      <c r="BC163" s="55"/>
      <c r="BD163" s="29"/>
      <c r="BE163" s="29"/>
      <c r="BF163" s="30"/>
      <c r="BG163" s="55"/>
      <c r="BH163" s="29"/>
      <c r="BI163" s="29"/>
      <c r="BJ163" s="30"/>
      <c r="BK163" s="172" t="s">
        <v>751</v>
      </c>
      <c r="BL163" s="29"/>
      <c r="BM163" s="29"/>
      <c r="BN163" s="30"/>
      <c r="BO163" s="55"/>
      <c r="BP163" s="29"/>
      <c r="BQ163" s="29"/>
      <c r="BR163" s="30"/>
      <c r="BS163" s="55"/>
      <c r="BT163" s="29"/>
      <c r="BU163" s="29"/>
      <c r="BV163" s="30"/>
      <c r="BW163" s="55"/>
      <c r="BX163" s="29"/>
      <c r="BY163" s="29"/>
      <c r="BZ163" s="30"/>
      <c r="CA163" s="31"/>
    </row>
    <row r="164" spans="1:79" hidden="1">
      <c r="B164" s="297"/>
      <c r="C164" s="307" t="s">
        <v>997</v>
      </c>
      <c r="D164" s="299" t="str">
        <f t="shared" si="36"/>
        <v xml:space="preserve"> 565</v>
      </c>
      <c r="E164" s="308" t="s">
        <v>997</v>
      </c>
      <c r="F164" s="301">
        <f t="shared" si="37"/>
        <v>0</v>
      </c>
      <c r="G164" s="302" t="s">
        <v>1063</v>
      </c>
      <c r="H164" s="302" t="s">
        <v>292</v>
      </c>
      <c r="I164" s="302" t="s">
        <v>1124</v>
      </c>
      <c r="J164" s="303">
        <v>77000</v>
      </c>
      <c r="K164" s="312">
        <f t="shared" si="33"/>
        <v>7300</v>
      </c>
      <c r="L164" s="301" t="s">
        <v>69</v>
      </c>
      <c r="M164" s="305">
        <f t="shared" si="46"/>
        <v>69700</v>
      </c>
      <c r="N164" s="316">
        <v>7300</v>
      </c>
      <c r="O164" s="306">
        <f t="shared" si="44"/>
        <v>77000</v>
      </c>
      <c r="P164" s="294"/>
      <c r="Q164" s="292" t="s">
        <v>1195</v>
      </c>
      <c r="R164" s="22"/>
      <c r="S164" s="22">
        <f t="shared" si="34"/>
        <v>77000</v>
      </c>
      <c r="T164" s="22">
        <f t="shared" si="38"/>
        <v>110000</v>
      </c>
      <c r="U164" s="23">
        <f t="shared" si="39"/>
        <v>125714.28571428571</v>
      </c>
      <c r="V164" s="24">
        <f t="shared" si="40"/>
        <v>0.12499999999999997</v>
      </c>
      <c r="W164" s="23">
        <f t="shared" si="41"/>
        <v>125800</v>
      </c>
      <c r="X164" s="164">
        <f t="shared" si="35"/>
        <v>0.3</v>
      </c>
      <c r="Y164" s="25"/>
      <c r="Z164" s="25"/>
      <c r="AA164" s="25"/>
      <c r="AB164" s="34"/>
      <c r="AC164" s="164"/>
      <c r="AD164" s="35"/>
      <c r="AE164" s="36"/>
      <c r="AF164" s="29"/>
      <c r="AG164" s="29"/>
      <c r="AH164" s="30"/>
      <c r="AI164" s="172" t="s">
        <v>608</v>
      </c>
      <c r="AJ164" s="29"/>
      <c r="AK164" s="29"/>
      <c r="AL164" s="30"/>
      <c r="AM164" s="172" t="s">
        <v>608</v>
      </c>
      <c r="AN164" s="29"/>
      <c r="AO164" s="29"/>
      <c r="AP164" s="30"/>
      <c r="AQ164" s="172" t="s">
        <v>608</v>
      </c>
      <c r="AR164" s="29"/>
      <c r="AS164" s="29"/>
      <c r="AT164" s="30"/>
      <c r="AU164" s="172" t="s">
        <v>608</v>
      </c>
      <c r="AV164" s="29"/>
      <c r="AW164" s="29"/>
      <c r="AX164" s="30"/>
      <c r="AY164" s="55"/>
      <c r="AZ164" s="29"/>
      <c r="BA164" s="29"/>
      <c r="BB164" s="30"/>
      <c r="BC164" s="55"/>
      <c r="BD164" s="29"/>
      <c r="BE164" s="29"/>
      <c r="BF164" s="30"/>
      <c r="BG164" s="55"/>
      <c r="BH164" s="29"/>
      <c r="BI164" s="29"/>
      <c r="BJ164" s="30"/>
      <c r="BK164" s="172" t="s">
        <v>751</v>
      </c>
      <c r="BL164" s="29"/>
      <c r="BM164" s="29"/>
      <c r="BN164" s="30"/>
      <c r="BO164" s="55"/>
      <c r="BP164" s="29"/>
      <c r="BQ164" s="29"/>
      <c r="BR164" s="30"/>
      <c r="BS164" s="55"/>
      <c r="BT164" s="29"/>
      <c r="BU164" s="29"/>
      <c r="BV164" s="30"/>
      <c r="BW164" s="55"/>
      <c r="BX164" s="29"/>
      <c r="BY164" s="29"/>
      <c r="BZ164" s="30"/>
      <c r="CA164" s="31"/>
    </row>
    <row r="165" spans="1:79" hidden="1">
      <c r="B165" s="297"/>
      <c r="C165" s="307" t="s">
        <v>687</v>
      </c>
      <c r="D165" s="299" t="str">
        <f t="shared" si="36"/>
        <v xml:space="preserve"> 713</v>
      </c>
      <c r="E165" s="308" t="s">
        <v>687</v>
      </c>
      <c r="F165" s="301">
        <f t="shared" si="37"/>
        <v>0</v>
      </c>
      <c r="G165" s="302" t="s">
        <v>35</v>
      </c>
      <c r="H165" s="302" t="s">
        <v>292</v>
      </c>
      <c r="I165" s="302" t="s">
        <v>1124</v>
      </c>
      <c r="J165" s="303">
        <v>84000</v>
      </c>
      <c r="K165" s="312">
        <f>J165</f>
        <v>84000</v>
      </c>
      <c r="L165" s="301" t="s">
        <v>69</v>
      </c>
      <c r="M165" s="305">
        <f t="shared" si="46"/>
        <v>76500</v>
      </c>
      <c r="N165" s="316">
        <v>7500</v>
      </c>
      <c r="O165" s="306">
        <f t="shared" si="44"/>
        <v>84000</v>
      </c>
      <c r="P165" s="294"/>
      <c r="Q165" s="292" t="s">
        <v>1178</v>
      </c>
      <c r="R165" s="22"/>
      <c r="S165" s="22">
        <f t="shared" si="34"/>
        <v>84000</v>
      </c>
      <c r="T165" s="22">
        <f t="shared" si="38"/>
        <v>120000.00000000001</v>
      </c>
      <c r="U165" s="23">
        <f t="shared" si="39"/>
        <v>137142.85714285716</v>
      </c>
      <c r="V165" s="24">
        <f t="shared" si="40"/>
        <v>0.125</v>
      </c>
      <c r="W165" s="23">
        <f t="shared" si="41"/>
        <v>137200</v>
      </c>
      <c r="X165" s="164">
        <f t="shared" si="35"/>
        <v>0.3000000000000001</v>
      </c>
      <c r="Y165" s="188">
        <v>84500</v>
      </c>
      <c r="Z165" s="188">
        <f>T165-Y165</f>
        <v>35500.000000000015</v>
      </c>
      <c r="AA165" s="189">
        <f>Z165/Y165</f>
        <v>0.42011834319526642</v>
      </c>
      <c r="AB165" s="34"/>
      <c r="AC165" s="164"/>
      <c r="AD165" s="35"/>
      <c r="AE165" s="36"/>
      <c r="AF165" s="29"/>
      <c r="AG165" s="29"/>
      <c r="AH165" s="30"/>
      <c r="AI165" s="172" t="s">
        <v>608</v>
      </c>
      <c r="AJ165" s="29"/>
      <c r="AK165" s="29"/>
      <c r="AL165" s="30"/>
      <c r="AM165" s="172" t="s">
        <v>608</v>
      </c>
      <c r="AN165" s="29"/>
      <c r="AO165" s="29"/>
      <c r="AP165" s="30"/>
      <c r="AQ165" s="172" t="s">
        <v>608</v>
      </c>
      <c r="AR165" s="29"/>
      <c r="AS165" s="29"/>
      <c r="AT165" s="30"/>
      <c r="AU165" s="172" t="s">
        <v>608</v>
      </c>
      <c r="AV165" s="29"/>
      <c r="AW165" s="29"/>
      <c r="AX165" s="30"/>
      <c r="AY165" s="55"/>
      <c r="AZ165" s="29"/>
      <c r="BA165" s="29"/>
      <c r="BB165" s="30"/>
      <c r="BC165" s="55"/>
      <c r="BD165" s="29"/>
      <c r="BE165" s="29"/>
      <c r="BF165" s="30"/>
      <c r="BG165" s="55"/>
      <c r="BH165" s="29"/>
      <c r="BI165" s="29"/>
      <c r="BJ165" s="30"/>
      <c r="BK165" s="172" t="s">
        <v>751</v>
      </c>
      <c r="BL165" s="29"/>
      <c r="BM165" s="29"/>
      <c r="BN165" s="30"/>
      <c r="BO165" s="55"/>
      <c r="BP165" s="29"/>
      <c r="BQ165" s="29"/>
      <c r="BR165" s="30"/>
      <c r="BS165" s="55"/>
      <c r="BT165" s="29"/>
      <c r="BU165" s="29"/>
      <c r="BV165" s="30"/>
      <c r="BW165" s="55"/>
      <c r="BX165" s="29"/>
      <c r="BY165" s="29"/>
      <c r="BZ165" s="30"/>
      <c r="CA165" s="31"/>
    </row>
    <row r="166" spans="1:79" hidden="1">
      <c r="B166" s="297"/>
      <c r="C166" s="307" t="s">
        <v>692</v>
      </c>
      <c r="D166" s="299" t="str">
        <f t="shared" si="36"/>
        <v xml:space="preserve"> 449</v>
      </c>
      <c r="E166" s="308" t="s">
        <v>692</v>
      </c>
      <c r="F166" s="301">
        <f t="shared" si="37"/>
        <v>0</v>
      </c>
      <c r="G166" s="302" t="s">
        <v>35</v>
      </c>
      <c r="H166" s="302" t="s">
        <v>292</v>
      </c>
      <c r="I166" s="302" t="s">
        <v>1124</v>
      </c>
      <c r="J166" s="303">
        <v>72000</v>
      </c>
      <c r="K166" s="312">
        <f t="shared" ref="K166:K228" si="47">J166-M166</f>
        <v>6900</v>
      </c>
      <c r="L166" s="301" t="s">
        <v>69</v>
      </c>
      <c r="M166" s="305">
        <f t="shared" si="46"/>
        <v>65100</v>
      </c>
      <c r="N166" s="316">
        <v>6900</v>
      </c>
      <c r="O166" s="306">
        <f t="shared" si="44"/>
        <v>72000</v>
      </c>
      <c r="P166" s="294"/>
      <c r="Q166" s="292" t="s">
        <v>1196</v>
      </c>
      <c r="R166" s="22"/>
      <c r="S166" s="22">
        <f t="shared" si="34"/>
        <v>72000</v>
      </c>
      <c r="T166" s="22">
        <f t="shared" si="38"/>
        <v>102857.14285714287</v>
      </c>
      <c r="U166" s="23">
        <f t="shared" si="39"/>
        <v>117551.02040816328</v>
      </c>
      <c r="V166" s="24">
        <f t="shared" si="40"/>
        <v>0.12500000000000003</v>
      </c>
      <c r="W166" s="23">
        <f t="shared" si="41"/>
        <v>117600</v>
      </c>
      <c r="X166" s="164">
        <f t="shared" si="35"/>
        <v>0.3000000000000001</v>
      </c>
      <c r="Y166" s="25"/>
      <c r="Z166" s="25"/>
      <c r="AA166" s="25"/>
      <c r="AB166" s="34"/>
      <c r="AC166" s="164"/>
      <c r="AD166" s="35"/>
      <c r="AE166" s="36"/>
      <c r="AF166" s="29"/>
      <c r="AG166" s="29"/>
      <c r="AH166" s="30"/>
      <c r="AI166" s="172" t="s">
        <v>608</v>
      </c>
      <c r="AJ166" s="29"/>
      <c r="AK166" s="29"/>
      <c r="AL166" s="30"/>
      <c r="AM166" s="172" t="s">
        <v>608</v>
      </c>
      <c r="AN166" s="29"/>
      <c r="AO166" s="29"/>
      <c r="AP166" s="30"/>
      <c r="AQ166" s="172" t="s">
        <v>608</v>
      </c>
      <c r="AR166" s="29"/>
      <c r="AS166" s="29"/>
      <c r="AT166" s="30"/>
      <c r="AU166" s="172" t="s">
        <v>608</v>
      </c>
      <c r="AV166" s="29"/>
      <c r="AW166" s="29"/>
      <c r="AX166" s="30"/>
      <c r="AY166" s="55"/>
      <c r="AZ166" s="29"/>
      <c r="BA166" s="29"/>
      <c r="BB166" s="30"/>
      <c r="BC166" s="55"/>
      <c r="BD166" s="29"/>
      <c r="BE166" s="29"/>
      <c r="BF166" s="30"/>
      <c r="BG166" s="55"/>
      <c r="BH166" s="29"/>
      <c r="BI166" s="29"/>
      <c r="BJ166" s="30"/>
      <c r="BK166" s="172" t="s">
        <v>751</v>
      </c>
      <c r="BL166" s="29"/>
      <c r="BM166" s="29"/>
      <c r="BN166" s="30"/>
      <c r="BO166" s="55"/>
      <c r="BP166" s="29"/>
      <c r="BQ166" s="29"/>
      <c r="BR166" s="30"/>
      <c r="BS166" s="55"/>
      <c r="BT166" s="29"/>
      <c r="BU166" s="29"/>
      <c r="BV166" s="30"/>
      <c r="BW166" s="55"/>
      <c r="BX166" s="29"/>
      <c r="BY166" s="29"/>
      <c r="BZ166" s="30"/>
      <c r="CA166" s="31"/>
    </row>
    <row r="167" spans="1:79" hidden="1">
      <c r="B167" s="297"/>
      <c r="C167" s="307" t="s">
        <v>684</v>
      </c>
      <c r="D167" s="299" t="str">
        <f t="shared" si="36"/>
        <v xml:space="preserve"> 252</v>
      </c>
      <c r="E167" s="308" t="s">
        <v>684</v>
      </c>
      <c r="F167" s="301">
        <f t="shared" si="37"/>
        <v>0</v>
      </c>
      <c r="G167" s="302" t="s">
        <v>35</v>
      </c>
      <c r="H167" s="302" t="s">
        <v>292</v>
      </c>
      <c r="I167" s="302" t="s">
        <v>1124</v>
      </c>
      <c r="J167" s="303">
        <v>73500</v>
      </c>
      <c r="K167" s="312">
        <f t="shared" si="47"/>
        <v>7500</v>
      </c>
      <c r="L167" s="301" t="s">
        <v>69</v>
      </c>
      <c r="M167" s="305">
        <f t="shared" si="46"/>
        <v>66000</v>
      </c>
      <c r="N167" s="316">
        <v>7500</v>
      </c>
      <c r="O167" s="306">
        <f t="shared" si="44"/>
        <v>73500</v>
      </c>
      <c r="P167" s="294"/>
      <c r="Q167" s="292" t="s">
        <v>1178</v>
      </c>
      <c r="R167" s="22"/>
      <c r="S167" s="22">
        <f t="shared" si="34"/>
        <v>73500</v>
      </c>
      <c r="T167" s="22">
        <f t="shared" si="38"/>
        <v>105000</v>
      </c>
      <c r="U167" s="23">
        <f t="shared" si="39"/>
        <v>120000</v>
      </c>
      <c r="V167" s="24">
        <f t="shared" si="40"/>
        <v>0.125</v>
      </c>
      <c r="W167" s="23">
        <f t="shared" si="41"/>
        <v>120000</v>
      </c>
      <c r="X167" s="164">
        <f t="shared" si="35"/>
        <v>0.3</v>
      </c>
      <c r="Y167" s="25"/>
      <c r="Z167" s="25"/>
      <c r="AA167" s="37"/>
      <c r="AB167" s="26"/>
      <c r="AC167" s="164"/>
      <c r="AD167" s="35"/>
      <c r="AE167" s="36"/>
      <c r="AF167" s="29"/>
      <c r="AG167" s="29"/>
      <c r="AH167" s="30"/>
      <c r="AI167" s="172" t="s">
        <v>608</v>
      </c>
      <c r="AJ167" s="29"/>
      <c r="AK167" s="29"/>
      <c r="AL167" s="30"/>
      <c r="AM167" s="172" t="s">
        <v>608</v>
      </c>
      <c r="AN167" s="29"/>
      <c r="AO167" s="29"/>
      <c r="AP167" s="30"/>
      <c r="AQ167" s="172" t="s">
        <v>608</v>
      </c>
      <c r="AR167" s="29"/>
      <c r="AS167" s="29"/>
      <c r="AT167" s="30"/>
      <c r="AU167" s="172" t="s">
        <v>608</v>
      </c>
      <c r="AV167" s="29"/>
      <c r="AW167" s="29"/>
      <c r="AX167" s="30"/>
      <c r="AY167" s="55"/>
      <c r="AZ167" s="29"/>
      <c r="BA167" s="29"/>
      <c r="BB167" s="30"/>
      <c r="BC167" s="55"/>
      <c r="BD167" s="29"/>
      <c r="BE167" s="29"/>
      <c r="BF167" s="30"/>
      <c r="BG167" s="55"/>
      <c r="BH167" s="29"/>
      <c r="BI167" s="29"/>
      <c r="BJ167" s="30"/>
      <c r="BK167" s="172" t="s">
        <v>751</v>
      </c>
      <c r="BL167" s="29"/>
      <c r="BM167" s="29"/>
      <c r="BN167" s="30"/>
      <c r="BO167" s="55"/>
      <c r="BP167" s="29"/>
      <c r="BQ167" s="29"/>
      <c r="BR167" s="30"/>
      <c r="BS167" s="55"/>
      <c r="BT167" s="29"/>
      <c r="BU167" s="29"/>
      <c r="BV167" s="30"/>
      <c r="BW167" s="55"/>
      <c r="BX167" s="29"/>
      <c r="BY167" s="29"/>
      <c r="BZ167" s="30"/>
      <c r="CA167" s="31"/>
    </row>
    <row r="168" spans="1:79" hidden="1">
      <c r="B168" s="297"/>
      <c r="C168" s="307" t="s">
        <v>306</v>
      </c>
      <c r="D168" s="299" t="str">
        <f t="shared" si="36"/>
        <v xml:space="preserve"> 697</v>
      </c>
      <c r="E168" s="308" t="s">
        <v>306</v>
      </c>
      <c r="F168" s="301">
        <f t="shared" si="37"/>
        <v>0</v>
      </c>
      <c r="G168" s="302" t="s">
        <v>35</v>
      </c>
      <c r="H168" s="302" t="s">
        <v>292</v>
      </c>
      <c r="I168" s="302" t="s">
        <v>1124</v>
      </c>
      <c r="J168" s="303">
        <v>70500</v>
      </c>
      <c r="K168" s="312">
        <f t="shared" si="47"/>
        <v>7150</v>
      </c>
      <c r="L168" s="301" t="s">
        <v>69</v>
      </c>
      <c r="M168" s="305">
        <f t="shared" si="46"/>
        <v>63350</v>
      </c>
      <c r="N168" s="316">
        <v>7150</v>
      </c>
      <c r="O168" s="306">
        <f t="shared" si="44"/>
        <v>70500</v>
      </c>
      <c r="P168" s="294"/>
      <c r="Q168" s="292" t="s">
        <v>1194</v>
      </c>
      <c r="R168" s="22"/>
      <c r="S168" s="22">
        <f t="shared" si="34"/>
        <v>70500</v>
      </c>
      <c r="T168" s="22">
        <f t="shared" si="38"/>
        <v>100714.28571428572</v>
      </c>
      <c r="U168" s="23">
        <f t="shared" si="39"/>
        <v>115102.04081632654</v>
      </c>
      <c r="V168" s="24">
        <f t="shared" si="40"/>
        <v>0.12499999999999997</v>
      </c>
      <c r="W168" s="23">
        <f t="shared" si="41"/>
        <v>115200</v>
      </c>
      <c r="X168" s="164">
        <f t="shared" si="35"/>
        <v>0.3000000000000001</v>
      </c>
      <c r="Y168" s="188">
        <v>82786</v>
      </c>
      <c r="Z168" s="188">
        <f>T168-Y168</f>
        <v>17928.285714285725</v>
      </c>
      <c r="AA168" s="189">
        <f>Z168/Y168</f>
        <v>0.21656180651662993</v>
      </c>
      <c r="AB168" s="34"/>
      <c r="AC168" s="164"/>
      <c r="AD168" s="35"/>
      <c r="AE168" s="36"/>
      <c r="AF168" s="29"/>
      <c r="AG168" s="29"/>
      <c r="AH168" s="30"/>
      <c r="AI168" s="172" t="s">
        <v>608</v>
      </c>
      <c r="AJ168" s="29"/>
      <c r="AK168" s="29"/>
      <c r="AL168" s="30"/>
      <c r="AM168" s="172" t="s">
        <v>608</v>
      </c>
      <c r="AN168" s="29"/>
      <c r="AO168" s="29"/>
      <c r="AP168" s="30"/>
      <c r="AQ168" s="172" t="s">
        <v>608</v>
      </c>
      <c r="AR168" s="29"/>
      <c r="AS168" s="29"/>
      <c r="AT168" s="30"/>
      <c r="AU168" s="172" t="s">
        <v>608</v>
      </c>
      <c r="AV168" s="29"/>
      <c r="AW168" s="29"/>
      <c r="AX168" s="30"/>
      <c r="AY168" s="55"/>
      <c r="AZ168" s="29"/>
      <c r="BA168" s="29"/>
      <c r="BB168" s="30"/>
      <c r="BC168" s="55"/>
      <c r="BD168" s="29"/>
      <c r="BE168" s="29"/>
      <c r="BF168" s="30"/>
      <c r="BG168" s="55"/>
      <c r="BH168" s="29"/>
      <c r="BI168" s="29"/>
      <c r="BJ168" s="30"/>
      <c r="BK168" s="172" t="s">
        <v>751</v>
      </c>
      <c r="BL168" s="29"/>
      <c r="BM168" s="29"/>
      <c r="BN168" s="30"/>
      <c r="BO168" s="55"/>
      <c r="BP168" s="29"/>
      <c r="BQ168" s="29"/>
      <c r="BR168" s="30"/>
      <c r="BS168" s="55"/>
      <c r="BT168" s="29"/>
      <c r="BU168" s="29"/>
      <c r="BV168" s="30"/>
      <c r="BW168" s="55"/>
      <c r="BX168" s="29"/>
      <c r="BY168" s="29"/>
      <c r="BZ168" s="30"/>
      <c r="CA168" s="31"/>
    </row>
    <row r="169" spans="1:79" hidden="1">
      <c r="B169" s="297"/>
      <c r="C169" s="307" t="s">
        <v>689</v>
      </c>
      <c r="D169" s="299" t="str">
        <f t="shared" si="36"/>
        <v xml:space="preserve"> 328</v>
      </c>
      <c r="E169" s="308" t="s">
        <v>689</v>
      </c>
      <c r="F169" s="301">
        <f t="shared" si="37"/>
        <v>0</v>
      </c>
      <c r="G169" s="302" t="s">
        <v>35</v>
      </c>
      <c r="H169" s="302" t="s">
        <v>292</v>
      </c>
      <c r="I169" s="302" t="s">
        <v>1124</v>
      </c>
      <c r="J169" s="303">
        <v>92000</v>
      </c>
      <c r="K169" s="312">
        <f t="shared" si="47"/>
        <v>7500</v>
      </c>
      <c r="L169" s="301" t="s">
        <v>69</v>
      </c>
      <c r="M169" s="305">
        <f t="shared" si="46"/>
        <v>84500</v>
      </c>
      <c r="N169" s="316">
        <v>7500</v>
      </c>
      <c r="O169" s="306">
        <f>M169+N169</f>
        <v>92000</v>
      </c>
      <c r="P169" s="294"/>
      <c r="Q169" s="292" t="s">
        <v>1178</v>
      </c>
      <c r="R169" s="22"/>
      <c r="S169" s="22">
        <f t="shared" si="34"/>
        <v>92000</v>
      </c>
      <c r="T169" s="22">
        <f>S169/0.7</f>
        <v>131428.57142857145</v>
      </c>
      <c r="U169" s="23">
        <f>T169/0.875</f>
        <v>150204.08163265308</v>
      </c>
      <c r="V169" s="24">
        <f>(U169-T169)/U169</f>
        <v>0.12499999999999996</v>
      </c>
      <c r="W169" s="23">
        <f t="shared" si="41"/>
        <v>150300</v>
      </c>
      <c r="X169" s="164">
        <f t="shared" si="35"/>
        <v>0.3000000000000001</v>
      </c>
      <c r="Y169" s="25"/>
      <c r="Z169" s="25"/>
      <c r="AA169" s="25"/>
      <c r="AB169" s="34" t="s">
        <v>203</v>
      </c>
      <c r="AC169" s="164">
        <f>AVERAGE(X169,X164,X162,X161,X160,X159,X158,X157,X156)</f>
        <v>0.3</v>
      </c>
      <c r="AD169" s="46">
        <f>AVERAGE(T156,T157,T158,T159,T160,T161,T162,T164,T169)</f>
        <v>110555.55555555556</v>
      </c>
      <c r="AE169" s="28">
        <f>AVERAGE(AI169,AM169,AQ169,AU169,BC169,BK169,BO169,BS169,BW169)</f>
        <v>75104.399999999994</v>
      </c>
      <c r="AF169" s="180">
        <v>68500</v>
      </c>
      <c r="AG169" s="181">
        <v>63571</v>
      </c>
      <c r="AH169" s="21">
        <f>(AD169-AF169)/AF169</f>
        <v>0.61394971613949723</v>
      </c>
      <c r="AI169" s="41">
        <v>61288</v>
      </c>
      <c r="AJ169" s="180">
        <f>45601/0.7</f>
        <v>65144.285714285717</v>
      </c>
      <c r="AK169" s="180">
        <v>62676</v>
      </c>
      <c r="AL169" s="21">
        <f>(AI169-AJ169)/AJ169</f>
        <v>-5.9196070261617113E-2</v>
      </c>
      <c r="AM169" s="59">
        <v>64550</v>
      </c>
      <c r="AN169" s="180">
        <f>42527/0.7</f>
        <v>60752.857142857145</v>
      </c>
      <c r="AO169" s="180">
        <v>62784</v>
      </c>
      <c r="AP169" s="21">
        <f>(AM169-AN169)/AN169</f>
        <v>6.2501469654572359E-2</v>
      </c>
      <c r="AQ169" s="44">
        <v>87975</v>
      </c>
      <c r="AR169" s="180">
        <f>61036/0.7</f>
        <v>87194.285714285725</v>
      </c>
      <c r="AS169" s="180">
        <v>87194</v>
      </c>
      <c r="AT169" s="21">
        <f>(AQ169-AR169)/AR169</f>
        <v>8.9537322236056208E-3</v>
      </c>
      <c r="AU169" s="44">
        <v>85320</v>
      </c>
      <c r="AV169" s="180">
        <f>58800/0.7</f>
        <v>84000</v>
      </c>
      <c r="AW169" s="180">
        <v>84109</v>
      </c>
      <c r="AX169" s="21">
        <f>(AU169-AV169)/AV169</f>
        <v>1.5714285714285715E-2</v>
      </c>
      <c r="AY169" s="57"/>
      <c r="AZ169" s="29"/>
      <c r="BA169" s="29"/>
      <c r="BB169" s="30"/>
      <c r="BC169" s="55"/>
      <c r="BD169" s="180">
        <v>72900</v>
      </c>
      <c r="BE169" s="29"/>
      <c r="BF169" s="21">
        <f>(BC169-BD169)/BD169</f>
        <v>-1</v>
      </c>
      <c r="BG169" s="55"/>
      <c r="BH169" s="29"/>
      <c r="BI169" s="29"/>
      <c r="BJ169" s="30"/>
      <c r="BK169" s="44">
        <v>76389</v>
      </c>
      <c r="BL169" s="180">
        <f>47017/0.7</f>
        <v>67167.142857142855</v>
      </c>
      <c r="BM169" s="180">
        <v>65833</v>
      </c>
      <c r="BN169" s="21">
        <f>(BK169-BL169)/BL169</f>
        <v>0.13729714784014296</v>
      </c>
      <c r="BO169" s="55"/>
      <c r="BP169" s="29"/>
      <c r="BQ169" s="29"/>
      <c r="BR169" s="30"/>
      <c r="BS169" s="55"/>
      <c r="BT169" s="29"/>
      <c r="BU169" s="29"/>
      <c r="BV169" s="30"/>
      <c r="BW169" s="55"/>
      <c r="BX169" s="29"/>
      <c r="BY169" s="29"/>
      <c r="BZ169" s="30"/>
      <c r="CA169" s="31"/>
    </row>
    <row r="170" spans="1:79" hidden="1">
      <c r="A170" s="71"/>
      <c r="B170" s="297"/>
      <c r="C170" s="307" t="s">
        <v>299</v>
      </c>
      <c r="D170" s="299" t="str">
        <f t="shared" si="36"/>
        <v xml:space="preserve"> 690</v>
      </c>
      <c r="E170" s="308" t="s">
        <v>299</v>
      </c>
      <c r="F170" s="301">
        <f t="shared" si="37"/>
        <v>0</v>
      </c>
      <c r="G170" s="302" t="s">
        <v>35</v>
      </c>
      <c r="H170" s="302" t="s">
        <v>292</v>
      </c>
      <c r="I170" s="302" t="s">
        <v>1124</v>
      </c>
      <c r="J170" s="303">
        <v>75050</v>
      </c>
      <c r="K170" s="312">
        <f t="shared" si="47"/>
        <v>7150</v>
      </c>
      <c r="L170" s="301" t="s">
        <v>69</v>
      </c>
      <c r="M170" s="305">
        <f t="shared" si="46"/>
        <v>67900</v>
      </c>
      <c r="N170" s="316">
        <v>7150</v>
      </c>
      <c r="O170" s="306">
        <f t="shared" si="44"/>
        <v>75050</v>
      </c>
      <c r="P170" s="294"/>
      <c r="Q170" s="292" t="s">
        <v>1194</v>
      </c>
      <c r="R170" s="22"/>
      <c r="S170" s="22">
        <f t="shared" si="34"/>
        <v>75050</v>
      </c>
      <c r="T170" s="22">
        <f t="shared" si="38"/>
        <v>107214.28571428572</v>
      </c>
      <c r="U170" s="23">
        <f t="shared" si="39"/>
        <v>122530.61224489797</v>
      </c>
      <c r="V170" s="24">
        <f t="shared" si="40"/>
        <v>0.12500000000000003</v>
      </c>
      <c r="W170" s="23">
        <f t="shared" si="41"/>
        <v>122600</v>
      </c>
      <c r="X170" s="164">
        <f t="shared" si="35"/>
        <v>0.30000000000000004</v>
      </c>
      <c r="Y170" s="25"/>
      <c r="Z170" s="25"/>
      <c r="AA170" s="37"/>
      <c r="AB170" s="26" t="s">
        <v>201</v>
      </c>
      <c r="AC170" s="164">
        <f>AVERAGE(X163,X165,X166,X167,X168,X170)</f>
        <v>0.30000000000000004</v>
      </c>
      <c r="AD170" s="46">
        <f>AVERAGE(T163,T165,T166,T167,T168,T170)</f>
        <v>105964.2857142857</v>
      </c>
      <c r="AE170" s="28">
        <f>AVERAGE(AI170,AM170,AQ170,AU170,BC170,BK170,BO170,BS170,BW170)</f>
        <v>88034.07619047616</v>
      </c>
      <c r="AF170" s="180">
        <v>83719.780219780223</v>
      </c>
      <c r="AG170" s="181">
        <v>81490</v>
      </c>
      <c r="AH170" s="21">
        <f>(AD170-AF170)/AF170</f>
        <v>0.26570190982476838</v>
      </c>
      <c r="AI170" s="41">
        <f>57152.3333333333/0.7</f>
        <v>81646.19047619043</v>
      </c>
      <c r="AJ170" s="180">
        <f>54609/0.7</f>
        <v>78012.857142857145</v>
      </c>
      <c r="AK170" s="180">
        <v>75906</v>
      </c>
      <c r="AL170" s="21">
        <f>(AI170-AJ170)/AJ170</f>
        <v>4.6573519627411221E-2</v>
      </c>
      <c r="AM170" s="59">
        <f>54873.8333333333/0.7</f>
        <v>78391.19047619043</v>
      </c>
      <c r="AN170" s="180">
        <f>57502/0.7</f>
        <v>82145.71428571429</v>
      </c>
      <c r="AO170" s="180">
        <v>84333</v>
      </c>
      <c r="AP170" s="21">
        <f>(AM170-AN170)/AN170</f>
        <v>-4.5705656614842993E-2</v>
      </c>
      <c r="AQ170" s="44">
        <v>95850</v>
      </c>
      <c r="AR170" s="180">
        <f>67095/0.7</f>
        <v>95850</v>
      </c>
      <c r="AS170" s="180">
        <v>95850</v>
      </c>
      <c r="AT170" s="21">
        <f>(AQ170-AR170)/AR170</f>
        <v>0</v>
      </c>
      <c r="AU170" s="44">
        <f>64890/0.7</f>
        <v>92700</v>
      </c>
      <c r="AV170" s="180">
        <f>64890/0.7</f>
        <v>92700</v>
      </c>
      <c r="AW170" s="180">
        <v>92700</v>
      </c>
      <c r="AX170" s="21">
        <f>(AU170-AV170)/AV170</f>
        <v>0</v>
      </c>
      <c r="AY170" s="57"/>
      <c r="AZ170" s="29"/>
      <c r="BA170" s="29"/>
      <c r="BB170" s="30"/>
      <c r="BC170" s="55"/>
      <c r="BD170" s="180">
        <v>84726</v>
      </c>
      <c r="BE170" s="29"/>
      <c r="BF170" s="21">
        <f>(BC170-BD170)/BD170</f>
        <v>-1</v>
      </c>
      <c r="BG170" s="55"/>
      <c r="BH170" s="29"/>
      <c r="BI170" s="29"/>
      <c r="BJ170" s="30"/>
      <c r="BK170" s="44">
        <v>91583</v>
      </c>
      <c r="BL170" s="180">
        <f>56891/0.7</f>
        <v>81272.857142857145</v>
      </c>
      <c r="BM170" s="180">
        <v>78126</v>
      </c>
      <c r="BN170" s="21">
        <f>(BK170-BL170)/BL170</f>
        <v>0.12685837830236765</v>
      </c>
      <c r="BO170" s="55"/>
      <c r="BP170" s="29"/>
      <c r="BQ170" s="29"/>
      <c r="BR170" s="30"/>
      <c r="BS170" s="55"/>
      <c r="BT170" s="29"/>
      <c r="BU170" s="29"/>
      <c r="BV170" s="30"/>
      <c r="BW170" s="55"/>
      <c r="BX170" s="29"/>
      <c r="BY170" s="29"/>
      <c r="BZ170" s="30"/>
      <c r="CA170" s="31"/>
    </row>
    <row r="171" spans="1:79" hidden="1">
      <c r="B171" s="297"/>
      <c r="C171" s="307" t="s">
        <v>703</v>
      </c>
      <c r="D171" s="299" t="str">
        <f t="shared" si="36"/>
        <v xml:space="preserve"> 979</v>
      </c>
      <c r="E171" s="308" t="s">
        <v>703</v>
      </c>
      <c r="F171" s="301">
        <f t="shared" si="37"/>
        <v>0</v>
      </c>
      <c r="G171" s="302" t="s">
        <v>35</v>
      </c>
      <c r="H171" s="302" t="s">
        <v>292</v>
      </c>
      <c r="I171" s="302" t="s">
        <v>1124</v>
      </c>
      <c r="J171" s="303">
        <v>79500</v>
      </c>
      <c r="K171" s="312">
        <f t="shared" si="47"/>
        <v>7500</v>
      </c>
      <c r="L171" s="301" t="s">
        <v>69</v>
      </c>
      <c r="M171" s="305">
        <f t="shared" si="46"/>
        <v>72000</v>
      </c>
      <c r="N171" s="316">
        <v>7500</v>
      </c>
      <c r="O171" s="306">
        <f t="shared" si="44"/>
        <v>79500</v>
      </c>
      <c r="P171" s="294"/>
      <c r="Q171" s="292" t="s">
        <v>1178</v>
      </c>
      <c r="R171" s="22"/>
      <c r="S171" s="22">
        <f t="shared" si="34"/>
        <v>79500</v>
      </c>
      <c r="T171" s="22">
        <f t="shared" si="38"/>
        <v>113571.42857142858</v>
      </c>
      <c r="U171" s="23">
        <f t="shared" si="39"/>
        <v>129795.91836734695</v>
      </c>
      <c r="V171" s="24">
        <f t="shared" si="40"/>
        <v>0.12500000000000003</v>
      </c>
      <c r="W171" s="23">
        <f t="shared" si="41"/>
        <v>129800</v>
      </c>
      <c r="X171" s="164">
        <f t="shared" si="35"/>
        <v>0.30000000000000004</v>
      </c>
      <c r="Y171" s="25"/>
      <c r="Z171" s="25"/>
      <c r="AA171" s="25"/>
      <c r="AB171" s="34"/>
      <c r="AC171" s="164"/>
      <c r="AD171" s="35"/>
      <c r="AE171" s="36"/>
      <c r="AF171" s="29"/>
      <c r="AG171" s="29"/>
      <c r="AH171" s="30"/>
      <c r="AI171" s="55"/>
      <c r="AJ171" s="29"/>
      <c r="AK171" s="29"/>
      <c r="AL171" s="30"/>
      <c r="AM171" s="172" t="s">
        <v>608</v>
      </c>
      <c r="AN171" s="29"/>
      <c r="AO171" s="29"/>
      <c r="AP171" s="30"/>
      <c r="AQ171" s="55"/>
      <c r="AR171" s="29"/>
      <c r="AS171" s="29"/>
      <c r="AT171" s="30"/>
      <c r="AU171" s="172" t="s">
        <v>608</v>
      </c>
      <c r="AV171" s="29"/>
      <c r="AW171" s="29"/>
      <c r="AX171" s="30"/>
      <c r="AY171" s="55"/>
      <c r="AZ171" s="29"/>
      <c r="BA171" s="29"/>
      <c r="BB171" s="30"/>
      <c r="BC171" s="172" t="s">
        <v>751</v>
      </c>
      <c r="BD171" s="29"/>
      <c r="BE171" s="29"/>
      <c r="BF171" s="30"/>
      <c r="BG171" s="55"/>
      <c r="BH171" s="29"/>
      <c r="BI171" s="29"/>
      <c r="BJ171" s="30"/>
      <c r="BK171" s="172" t="s">
        <v>751</v>
      </c>
      <c r="BL171" s="29"/>
      <c r="BM171" s="29"/>
      <c r="BN171" s="30"/>
      <c r="BO171" s="55"/>
      <c r="BP171" s="29"/>
      <c r="BQ171" s="29"/>
      <c r="BR171" s="30"/>
      <c r="BS171" s="55"/>
      <c r="BT171" s="29"/>
      <c r="BU171" s="29"/>
      <c r="BV171" s="30"/>
      <c r="BW171" s="55"/>
      <c r="BX171" s="29"/>
      <c r="BY171" s="29"/>
      <c r="BZ171" s="30"/>
      <c r="CA171" s="31"/>
    </row>
    <row r="172" spans="1:79" hidden="1">
      <c r="B172" s="297"/>
      <c r="C172" s="307" t="s">
        <v>699</v>
      </c>
      <c r="D172" s="299" t="str">
        <f t="shared" si="36"/>
        <v xml:space="preserve"> 695</v>
      </c>
      <c r="E172" s="308" t="s">
        <v>699</v>
      </c>
      <c r="F172" s="301">
        <f t="shared" si="37"/>
        <v>0</v>
      </c>
      <c r="G172" s="302" t="s">
        <v>35</v>
      </c>
      <c r="H172" s="302" t="s">
        <v>1073</v>
      </c>
      <c r="I172" s="302" t="s">
        <v>1124</v>
      </c>
      <c r="J172" s="303">
        <v>68000</v>
      </c>
      <c r="K172" s="312">
        <f t="shared" si="47"/>
        <v>7150</v>
      </c>
      <c r="L172" s="301" t="s">
        <v>69</v>
      </c>
      <c r="M172" s="305">
        <f t="shared" si="46"/>
        <v>60850</v>
      </c>
      <c r="N172" s="316">
        <v>7150</v>
      </c>
      <c r="O172" s="306">
        <f t="shared" si="44"/>
        <v>68000</v>
      </c>
      <c r="P172" s="294"/>
      <c r="Q172" s="292" t="s">
        <v>1194</v>
      </c>
      <c r="R172" s="22"/>
      <c r="S172" s="22">
        <f t="shared" si="34"/>
        <v>68000</v>
      </c>
      <c r="T172" s="22">
        <f t="shared" si="38"/>
        <v>97142.857142857145</v>
      </c>
      <c r="U172" s="23">
        <f t="shared" si="39"/>
        <v>111020.40816326531</v>
      </c>
      <c r="V172" s="24">
        <f t="shared" si="40"/>
        <v>0.12500000000000003</v>
      </c>
      <c r="W172" s="23">
        <f t="shared" si="41"/>
        <v>111100</v>
      </c>
      <c r="X172" s="164">
        <f t="shared" si="35"/>
        <v>0.3</v>
      </c>
      <c r="Y172" s="25"/>
      <c r="Z172" s="25"/>
      <c r="AA172" s="25"/>
      <c r="AB172" s="34"/>
      <c r="AC172" s="164"/>
      <c r="AD172" s="35"/>
      <c r="AE172" s="36"/>
      <c r="AF172" s="29"/>
      <c r="AG172" s="29"/>
      <c r="AH172" s="30"/>
      <c r="AI172" s="55"/>
      <c r="AJ172" s="29"/>
      <c r="AK172" s="29"/>
      <c r="AL172" s="30"/>
      <c r="AM172" s="172" t="s">
        <v>608</v>
      </c>
      <c r="AN172" s="29"/>
      <c r="AO172" s="29"/>
      <c r="AP172" s="30"/>
      <c r="AQ172" s="55"/>
      <c r="AR172" s="29"/>
      <c r="AS172" s="29"/>
      <c r="AT172" s="30"/>
      <c r="AU172" s="172" t="s">
        <v>608</v>
      </c>
      <c r="AV172" s="29"/>
      <c r="AW172" s="29"/>
      <c r="AX172" s="30"/>
      <c r="AY172" s="55"/>
      <c r="AZ172" s="29"/>
      <c r="BA172" s="29"/>
      <c r="BB172" s="30"/>
      <c r="BC172" s="172" t="s">
        <v>751</v>
      </c>
      <c r="BD172" s="29"/>
      <c r="BE172" s="29"/>
      <c r="BF172" s="30"/>
      <c r="BG172" s="55"/>
      <c r="BH172" s="29"/>
      <c r="BI172" s="29"/>
      <c r="BJ172" s="30"/>
      <c r="BK172" s="172" t="s">
        <v>751</v>
      </c>
      <c r="BL172" s="29"/>
      <c r="BM172" s="29"/>
      <c r="BN172" s="30"/>
      <c r="BO172" s="55"/>
      <c r="BP172" s="29"/>
      <c r="BQ172" s="29"/>
      <c r="BR172" s="30"/>
      <c r="BS172" s="55"/>
      <c r="BT172" s="29"/>
      <c r="BU172" s="29"/>
      <c r="BV172" s="30"/>
      <c r="BW172" s="55"/>
      <c r="BX172" s="29"/>
      <c r="BY172" s="29"/>
      <c r="BZ172" s="30"/>
      <c r="CA172" s="31"/>
    </row>
    <row r="173" spans="1:79" hidden="1">
      <c r="B173" s="297"/>
      <c r="C173" s="307" t="s">
        <v>700</v>
      </c>
      <c r="D173" s="299" t="str">
        <f t="shared" si="36"/>
        <v xml:space="preserve"> 016</v>
      </c>
      <c r="E173" s="308" t="s">
        <v>700</v>
      </c>
      <c r="F173" s="301">
        <f t="shared" si="37"/>
        <v>0</v>
      </c>
      <c r="G173" s="302" t="s">
        <v>35</v>
      </c>
      <c r="H173" s="302" t="s">
        <v>1073</v>
      </c>
      <c r="I173" s="302" t="s">
        <v>1124</v>
      </c>
      <c r="J173" s="303">
        <v>83800</v>
      </c>
      <c r="K173" s="312">
        <f t="shared" si="47"/>
        <v>6500</v>
      </c>
      <c r="L173" s="301" t="s">
        <v>69</v>
      </c>
      <c r="M173" s="305">
        <f t="shared" si="46"/>
        <v>77300</v>
      </c>
      <c r="N173" s="316">
        <v>6500</v>
      </c>
      <c r="O173" s="306">
        <f t="shared" si="44"/>
        <v>83800</v>
      </c>
      <c r="P173" s="295"/>
      <c r="Q173" s="292" t="s">
        <v>1197</v>
      </c>
      <c r="R173" s="22"/>
      <c r="S173" s="22">
        <f t="shared" si="34"/>
        <v>83800</v>
      </c>
      <c r="T173" s="22">
        <f t="shared" si="38"/>
        <v>119714.28571428572</v>
      </c>
      <c r="U173" s="23">
        <f t="shared" si="39"/>
        <v>136816.32653061225</v>
      </c>
      <c r="V173" s="24">
        <f t="shared" si="40"/>
        <v>0.12499999999999994</v>
      </c>
      <c r="W173" s="23">
        <f t="shared" si="41"/>
        <v>136900</v>
      </c>
      <c r="X173" s="164">
        <f t="shared" si="35"/>
        <v>0.30000000000000004</v>
      </c>
      <c r="Y173" s="25"/>
      <c r="Z173" s="25"/>
      <c r="AA173" s="25"/>
      <c r="AB173" s="34"/>
      <c r="AC173" s="164"/>
      <c r="AD173" s="35"/>
      <c r="AE173" s="36"/>
      <c r="AF173" s="29"/>
      <c r="AG173" s="29"/>
      <c r="AH173" s="30"/>
      <c r="AI173" s="55"/>
      <c r="AJ173" s="29"/>
      <c r="AK173" s="29"/>
      <c r="AL173" s="30"/>
      <c r="AM173" s="172" t="s">
        <v>608</v>
      </c>
      <c r="AN173" s="29"/>
      <c r="AO173" s="29"/>
      <c r="AP173" s="30"/>
      <c r="AQ173" s="55"/>
      <c r="AR173" s="29"/>
      <c r="AS173" s="29"/>
      <c r="AT173" s="30"/>
      <c r="AU173" s="55"/>
      <c r="AV173" s="29"/>
      <c r="AW173" s="29"/>
      <c r="AX173" s="30"/>
      <c r="AY173" s="55"/>
      <c r="AZ173" s="29"/>
      <c r="BA173" s="29"/>
      <c r="BB173" s="30"/>
      <c r="BC173" s="55"/>
      <c r="BD173" s="29"/>
      <c r="BE173" s="29"/>
      <c r="BF173" s="30"/>
      <c r="BG173" s="55"/>
      <c r="BH173" s="29"/>
      <c r="BI173" s="29"/>
      <c r="BJ173" s="30"/>
      <c r="BK173" s="172" t="s">
        <v>751</v>
      </c>
      <c r="BL173" s="29"/>
      <c r="BM173" s="29"/>
      <c r="BN173" s="30"/>
      <c r="BO173" s="55"/>
      <c r="BP173" s="29"/>
      <c r="BQ173" s="29"/>
      <c r="BR173" s="30"/>
      <c r="BS173" s="55"/>
      <c r="BT173" s="29"/>
      <c r="BU173" s="29"/>
      <c r="BV173" s="30"/>
      <c r="BW173" s="55"/>
      <c r="BX173" s="29"/>
      <c r="BY173" s="29"/>
      <c r="BZ173" s="30"/>
      <c r="CA173" s="31"/>
    </row>
    <row r="174" spans="1:79" hidden="1">
      <c r="B174" s="297"/>
      <c r="C174" s="307" t="s">
        <v>308</v>
      </c>
      <c r="D174" s="299" t="str">
        <f t="shared" si="36"/>
        <v xml:space="preserve"> 318</v>
      </c>
      <c r="E174" s="308" t="s">
        <v>308</v>
      </c>
      <c r="F174" s="301">
        <f t="shared" si="37"/>
        <v>0</v>
      </c>
      <c r="G174" s="302" t="s">
        <v>35</v>
      </c>
      <c r="H174" s="302" t="s">
        <v>292</v>
      </c>
      <c r="I174" s="302" t="s">
        <v>1124</v>
      </c>
      <c r="J174" s="303">
        <v>84300</v>
      </c>
      <c r="K174" s="312">
        <f t="shared" si="47"/>
        <v>7500</v>
      </c>
      <c r="L174" s="301" t="s">
        <v>69</v>
      </c>
      <c r="M174" s="305">
        <f t="shared" si="46"/>
        <v>76800</v>
      </c>
      <c r="N174" s="316">
        <v>7500</v>
      </c>
      <c r="O174" s="306">
        <f t="shared" si="44"/>
        <v>84300</v>
      </c>
      <c r="P174" s="294"/>
      <c r="Q174" s="292" t="s">
        <v>1198</v>
      </c>
      <c r="R174" s="22"/>
      <c r="S174" s="22">
        <f t="shared" si="34"/>
        <v>84300</v>
      </c>
      <c r="T174" s="22">
        <f t="shared" si="38"/>
        <v>120428.57142857143</v>
      </c>
      <c r="U174" s="23">
        <f t="shared" si="39"/>
        <v>137632.6530612245</v>
      </c>
      <c r="V174" s="24">
        <f t="shared" si="40"/>
        <v>0.125</v>
      </c>
      <c r="W174" s="23">
        <f t="shared" si="41"/>
        <v>137700</v>
      </c>
      <c r="X174" s="164">
        <f t="shared" si="35"/>
        <v>0.30000000000000004</v>
      </c>
      <c r="Y174" s="25"/>
      <c r="Z174" s="25"/>
      <c r="AA174" s="25"/>
      <c r="AB174" s="34"/>
      <c r="AC174" s="164"/>
      <c r="AD174" s="35"/>
      <c r="AE174" s="36"/>
      <c r="AF174" s="29"/>
      <c r="AG174" s="29"/>
      <c r="AH174" s="30"/>
      <c r="AI174" s="55"/>
      <c r="AJ174" s="29"/>
      <c r="AK174" s="29"/>
      <c r="AL174" s="30"/>
      <c r="AM174" s="172" t="s">
        <v>608</v>
      </c>
      <c r="AN174" s="29"/>
      <c r="AO174" s="29"/>
      <c r="AP174" s="30"/>
      <c r="AQ174" s="55"/>
      <c r="AR174" s="29"/>
      <c r="AS174" s="29"/>
      <c r="AT174" s="30"/>
      <c r="AU174" s="172" t="s">
        <v>608</v>
      </c>
      <c r="AV174" s="29"/>
      <c r="AW174" s="29"/>
      <c r="AX174" s="30"/>
      <c r="AY174" s="55"/>
      <c r="AZ174" s="29"/>
      <c r="BA174" s="29"/>
      <c r="BB174" s="30"/>
      <c r="BC174" s="172" t="s">
        <v>751</v>
      </c>
      <c r="BD174" s="29"/>
      <c r="BE174" s="29"/>
      <c r="BF174" s="30"/>
      <c r="BG174" s="55"/>
      <c r="BH174" s="29"/>
      <c r="BI174" s="29"/>
      <c r="BJ174" s="30"/>
      <c r="BK174" s="172" t="s">
        <v>751</v>
      </c>
      <c r="BL174" s="29"/>
      <c r="BM174" s="29"/>
      <c r="BN174" s="30"/>
      <c r="BO174" s="55"/>
      <c r="BP174" s="29"/>
      <c r="BQ174" s="29"/>
      <c r="BR174" s="30"/>
      <c r="BS174" s="55"/>
      <c r="BT174" s="29"/>
      <c r="BU174" s="29"/>
      <c r="BV174" s="30"/>
      <c r="BW174" s="55"/>
      <c r="BX174" s="29"/>
      <c r="BY174" s="29"/>
      <c r="BZ174" s="30"/>
      <c r="CA174" s="31"/>
    </row>
    <row r="175" spans="1:79" hidden="1">
      <c r="B175" s="297"/>
      <c r="C175" s="307" t="s">
        <v>312</v>
      </c>
      <c r="D175" s="299" t="str">
        <f t="shared" si="36"/>
        <v xml:space="preserve"> 194</v>
      </c>
      <c r="E175" s="308" t="s">
        <v>312</v>
      </c>
      <c r="F175" s="301">
        <f t="shared" si="37"/>
        <v>0</v>
      </c>
      <c r="G175" s="302" t="s">
        <v>35</v>
      </c>
      <c r="H175" s="302" t="s">
        <v>292</v>
      </c>
      <c r="I175" s="302" t="s">
        <v>1124</v>
      </c>
      <c r="J175" s="303">
        <v>83000</v>
      </c>
      <c r="K175" s="312">
        <f t="shared" si="47"/>
        <v>7500</v>
      </c>
      <c r="L175" s="301" t="s">
        <v>69</v>
      </c>
      <c r="M175" s="305">
        <f t="shared" si="46"/>
        <v>75500</v>
      </c>
      <c r="N175" s="316">
        <v>7500</v>
      </c>
      <c r="O175" s="306">
        <f t="shared" si="44"/>
        <v>83000</v>
      </c>
      <c r="P175" s="295"/>
      <c r="Q175" s="292" t="s">
        <v>1178</v>
      </c>
      <c r="R175" s="22"/>
      <c r="S175" s="22">
        <f t="shared" si="34"/>
        <v>83000</v>
      </c>
      <c r="T175" s="22">
        <f t="shared" si="38"/>
        <v>118571.42857142858</v>
      </c>
      <c r="U175" s="23">
        <f t="shared" si="39"/>
        <v>135510.20408163266</v>
      </c>
      <c r="V175" s="24">
        <f t="shared" si="40"/>
        <v>0.125</v>
      </c>
      <c r="W175" s="23">
        <f t="shared" si="41"/>
        <v>135600</v>
      </c>
      <c r="X175" s="164">
        <f t="shared" si="35"/>
        <v>0.30000000000000004</v>
      </c>
      <c r="Y175" s="188">
        <v>121429</v>
      </c>
      <c r="Z175" s="188">
        <f>T175-Y175</f>
        <v>-2857.5714285714203</v>
      </c>
      <c r="AA175" s="189">
        <f>Z175/Y175</f>
        <v>-2.3532858119324217E-2</v>
      </c>
      <c r="AB175" s="34"/>
      <c r="AC175" s="164"/>
      <c r="AD175" s="35"/>
      <c r="AE175" s="36"/>
      <c r="AF175" s="29"/>
      <c r="AG175" s="29"/>
      <c r="AH175" s="30"/>
      <c r="AI175" s="55"/>
      <c r="AJ175" s="29"/>
      <c r="AK175" s="29"/>
      <c r="AL175" s="30"/>
      <c r="AM175" s="172" t="s">
        <v>608</v>
      </c>
      <c r="AN175" s="29"/>
      <c r="AO175" s="29"/>
      <c r="AP175" s="30"/>
      <c r="AQ175" s="55"/>
      <c r="AR175" s="29"/>
      <c r="AS175" s="29"/>
      <c r="AT175" s="30"/>
      <c r="AU175" s="55"/>
      <c r="AV175" s="29"/>
      <c r="AW175" s="29"/>
      <c r="AX175" s="30"/>
      <c r="AY175" s="55"/>
      <c r="AZ175" s="29"/>
      <c r="BA175" s="29"/>
      <c r="BB175" s="30"/>
      <c r="BC175" s="55"/>
      <c r="BD175" s="29"/>
      <c r="BE175" s="29"/>
      <c r="BF175" s="30"/>
      <c r="BG175" s="55"/>
      <c r="BH175" s="29"/>
      <c r="BI175" s="29"/>
      <c r="BJ175" s="30"/>
      <c r="BK175" s="172" t="s">
        <v>751</v>
      </c>
      <c r="BL175" s="29"/>
      <c r="BM175" s="29"/>
      <c r="BN175" s="30"/>
      <c r="BO175" s="55"/>
      <c r="BP175" s="29"/>
      <c r="BQ175" s="29"/>
      <c r="BR175" s="30"/>
      <c r="BS175" s="55"/>
      <c r="BT175" s="29"/>
      <c r="BU175" s="29"/>
      <c r="BV175" s="30"/>
      <c r="BW175" s="55"/>
      <c r="BX175" s="29"/>
      <c r="BY175" s="29"/>
      <c r="BZ175" s="30"/>
      <c r="CA175" s="31"/>
    </row>
    <row r="176" spans="1:79" hidden="1">
      <c r="B176" s="297"/>
      <c r="C176" s="307" t="s">
        <v>998</v>
      </c>
      <c r="D176" s="299" t="str">
        <f t="shared" si="36"/>
        <v xml:space="preserve"> 648</v>
      </c>
      <c r="E176" s="308" t="s">
        <v>998</v>
      </c>
      <c r="F176" s="301">
        <f t="shared" si="37"/>
        <v>0</v>
      </c>
      <c r="G176" s="302" t="s">
        <v>1063</v>
      </c>
      <c r="H176" s="302" t="s">
        <v>292</v>
      </c>
      <c r="I176" s="302" t="s">
        <v>1124</v>
      </c>
      <c r="J176" s="303">
        <v>75000</v>
      </c>
      <c r="K176" s="312">
        <f t="shared" si="47"/>
        <v>7500</v>
      </c>
      <c r="L176" s="301" t="s">
        <v>69</v>
      </c>
      <c r="M176" s="305">
        <f t="shared" si="46"/>
        <v>67500</v>
      </c>
      <c r="N176" s="316">
        <v>7500</v>
      </c>
      <c r="O176" s="306">
        <f t="shared" si="44"/>
        <v>75000</v>
      </c>
      <c r="P176" s="294"/>
      <c r="Q176" s="292" t="s">
        <v>1178</v>
      </c>
      <c r="R176" s="22"/>
      <c r="S176" s="22">
        <f t="shared" si="34"/>
        <v>75000</v>
      </c>
      <c r="T176" s="22">
        <f t="shared" si="38"/>
        <v>107142.85714285714</v>
      </c>
      <c r="U176" s="23">
        <f t="shared" si="39"/>
        <v>122448.97959183673</v>
      </c>
      <c r="V176" s="24">
        <f t="shared" si="40"/>
        <v>0.12499999999999996</v>
      </c>
      <c r="W176" s="23">
        <f t="shared" si="41"/>
        <v>122500</v>
      </c>
      <c r="X176" s="164">
        <f t="shared" si="35"/>
        <v>0.3</v>
      </c>
      <c r="Y176" s="25"/>
      <c r="Z176" s="25"/>
      <c r="AA176" s="25"/>
      <c r="AB176" s="34"/>
      <c r="AC176" s="164"/>
      <c r="AD176" s="35"/>
      <c r="AE176" s="36"/>
      <c r="AF176" s="29"/>
      <c r="AG176" s="29"/>
      <c r="AH176" s="30"/>
      <c r="AI176" s="55"/>
      <c r="AJ176" s="29"/>
      <c r="AK176" s="29"/>
      <c r="AL176" s="30"/>
      <c r="AM176" s="172" t="s">
        <v>608</v>
      </c>
      <c r="AN176" s="29"/>
      <c r="AO176" s="29"/>
      <c r="AP176" s="30"/>
      <c r="AQ176" s="55"/>
      <c r="AR176" s="29"/>
      <c r="AS176" s="29"/>
      <c r="AT176" s="30"/>
      <c r="AU176" s="172" t="s">
        <v>608</v>
      </c>
      <c r="AV176" s="29"/>
      <c r="AW176" s="29"/>
      <c r="AX176" s="30"/>
      <c r="AY176" s="55"/>
      <c r="AZ176" s="29"/>
      <c r="BA176" s="29"/>
      <c r="BB176" s="30"/>
      <c r="BC176" s="172" t="s">
        <v>751</v>
      </c>
      <c r="BD176" s="29"/>
      <c r="BE176" s="29"/>
      <c r="BF176" s="30"/>
      <c r="BG176" s="55"/>
      <c r="BH176" s="29"/>
      <c r="BI176" s="29"/>
      <c r="BJ176" s="30"/>
      <c r="BK176" s="172" t="s">
        <v>751</v>
      </c>
      <c r="BL176" s="29"/>
      <c r="BM176" s="29"/>
      <c r="BN176" s="30"/>
      <c r="BO176" s="55"/>
      <c r="BP176" s="29"/>
      <c r="BQ176" s="29"/>
      <c r="BR176" s="30"/>
      <c r="BS176" s="55"/>
      <c r="BT176" s="29"/>
      <c r="BU176" s="29"/>
      <c r="BV176" s="30"/>
      <c r="BW176" s="55"/>
      <c r="BX176" s="29"/>
      <c r="BY176" s="29"/>
      <c r="BZ176" s="30"/>
      <c r="CA176" s="31"/>
    </row>
    <row r="177" spans="2:79" hidden="1">
      <c r="B177" s="297"/>
      <c r="C177" s="307" t="s">
        <v>999</v>
      </c>
      <c r="D177" s="299" t="str">
        <f t="shared" si="36"/>
        <v xml:space="preserve"> 163</v>
      </c>
      <c r="E177" s="308" t="s">
        <v>999</v>
      </c>
      <c r="F177" s="301">
        <f t="shared" si="37"/>
        <v>0</v>
      </c>
      <c r="G177" s="302" t="s">
        <v>1063</v>
      </c>
      <c r="H177" s="302" t="s">
        <v>292</v>
      </c>
      <c r="I177" s="302" t="s">
        <v>1124</v>
      </c>
      <c r="J177" s="303">
        <v>74000</v>
      </c>
      <c r="K177" s="312">
        <f t="shared" si="47"/>
        <v>7500</v>
      </c>
      <c r="L177" s="301" t="s">
        <v>69</v>
      </c>
      <c r="M177" s="305">
        <f t="shared" si="46"/>
        <v>66500</v>
      </c>
      <c r="N177" s="316">
        <v>7500</v>
      </c>
      <c r="O177" s="306">
        <f t="shared" si="44"/>
        <v>74000</v>
      </c>
      <c r="P177" s="294"/>
      <c r="Q177" s="292" t="s">
        <v>1178</v>
      </c>
      <c r="R177" s="22"/>
      <c r="S177" s="22">
        <f t="shared" si="34"/>
        <v>74000</v>
      </c>
      <c r="T177" s="22">
        <f t="shared" si="38"/>
        <v>105714.28571428572</v>
      </c>
      <c r="U177" s="23">
        <f t="shared" si="39"/>
        <v>120816.32653061226</v>
      </c>
      <c r="V177" s="24">
        <f t="shared" si="40"/>
        <v>0.12500000000000006</v>
      </c>
      <c r="W177" s="23">
        <f t="shared" si="41"/>
        <v>120900</v>
      </c>
      <c r="X177" s="164">
        <f t="shared" si="35"/>
        <v>0.30000000000000004</v>
      </c>
      <c r="Y177" s="25"/>
      <c r="Z177" s="25"/>
      <c r="AA177" s="25"/>
      <c r="AB177" s="34"/>
      <c r="AC177" s="164"/>
      <c r="AD177" s="35"/>
      <c r="AE177" s="36"/>
      <c r="AF177" s="29"/>
      <c r="AG177" s="29"/>
      <c r="AH177" s="30"/>
      <c r="AI177" s="55"/>
      <c r="AJ177" s="29"/>
      <c r="AK177" s="29"/>
      <c r="AL177" s="30"/>
      <c r="AM177" s="172" t="s">
        <v>608</v>
      </c>
      <c r="AN177" s="29"/>
      <c r="AO177" s="29"/>
      <c r="AP177" s="30"/>
      <c r="AQ177" s="55"/>
      <c r="AR177" s="29"/>
      <c r="AS177" s="29"/>
      <c r="AT177" s="30"/>
      <c r="AU177" s="172" t="s">
        <v>608</v>
      </c>
      <c r="AV177" s="29"/>
      <c r="AW177" s="29"/>
      <c r="AX177" s="30"/>
      <c r="AY177" s="55"/>
      <c r="AZ177" s="29"/>
      <c r="BA177" s="29"/>
      <c r="BB177" s="30"/>
      <c r="BC177" s="172" t="s">
        <v>751</v>
      </c>
      <c r="BD177" s="29"/>
      <c r="BE177" s="29"/>
      <c r="BF177" s="30"/>
      <c r="BG177" s="55"/>
      <c r="BH177" s="29"/>
      <c r="BI177" s="29"/>
      <c r="BJ177" s="30"/>
      <c r="BK177" s="172" t="s">
        <v>751</v>
      </c>
      <c r="BL177" s="29"/>
      <c r="BM177" s="29"/>
      <c r="BN177" s="30"/>
      <c r="BO177" s="55"/>
      <c r="BP177" s="29"/>
      <c r="BQ177" s="29"/>
      <c r="BR177" s="30"/>
      <c r="BS177" s="55"/>
      <c r="BT177" s="29"/>
      <c r="BU177" s="29"/>
      <c r="BV177" s="30"/>
      <c r="BW177" s="55"/>
      <c r="BX177" s="29"/>
      <c r="BY177" s="29"/>
      <c r="BZ177" s="30"/>
      <c r="CA177" s="31"/>
    </row>
    <row r="178" spans="2:79" hidden="1">
      <c r="B178" s="297"/>
      <c r="C178" s="307" t="s">
        <v>1000</v>
      </c>
      <c r="D178" s="299" t="str">
        <f t="shared" si="36"/>
        <v xml:space="preserve"> 672</v>
      </c>
      <c r="E178" s="308" t="s">
        <v>1000</v>
      </c>
      <c r="F178" s="301">
        <f t="shared" si="37"/>
        <v>0</v>
      </c>
      <c r="G178" s="302" t="s">
        <v>1063</v>
      </c>
      <c r="H178" s="302" t="s">
        <v>292</v>
      </c>
      <c r="I178" s="302" t="s">
        <v>1124</v>
      </c>
      <c r="J178" s="303">
        <v>59500</v>
      </c>
      <c r="K178" s="312">
        <f t="shared" si="47"/>
        <v>6900</v>
      </c>
      <c r="L178" s="301" t="s">
        <v>69</v>
      </c>
      <c r="M178" s="305">
        <f t="shared" si="46"/>
        <v>52600</v>
      </c>
      <c r="N178" s="316">
        <v>6900</v>
      </c>
      <c r="O178" s="306">
        <f t="shared" si="44"/>
        <v>59500</v>
      </c>
      <c r="P178" s="294"/>
      <c r="Q178" s="292" t="s">
        <v>1196</v>
      </c>
      <c r="R178" s="22"/>
      <c r="S178" s="22">
        <f t="shared" si="34"/>
        <v>59500</v>
      </c>
      <c r="T178" s="22">
        <f t="shared" si="38"/>
        <v>85000</v>
      </c>
      <c r="U178" s="23">
        <f t="shared" si="39"/>
        <v>97142.857142857145</v>
      </c>
      <c r="V178" s="24">
        <f t="shared" si="40"/>
        <v>0.12500000000000003</v>
      </c>
      <c r="W178" s="23">
        <f t="shared" si="41"/>
        <v>97200</v>
      </c>
      <c r="X178" s="164">
        <f t="shared" si="35"/>
        <v>0.3</v>
      </c>
      <c r="Y178" s="188">
        <v>109286</v>
      </c>
      <c r="Z178" s="188">
        <f>T178-Y178</f>
        <v>-24286</v>
      </c>
      <c r="AA178" s="189">
        <f>Z178/Y178</f>
        <v>-0.22222425562286111</v>
      </c>
      <c r="AB178" s="34"/>
      <c r="AC178" s="164"/>
      <c r="AD178" s="35"/>
      <c r="AE178" s="36"/>
      <c r="AF178" s="29"/>
      <c r="AG178" s="29"/>
      <c r="AH178" s="30"/>
      <c r="AI178" s="55"/>
      <c r="AJ178" s="29"/>
      <c r="AK178" s="29"/>
      <c r="AL178" s="30"/>
      <c r="AM178" s="172" t="s">
        <v>608</v>
      </c>
      <c r="AN178" s="29"/>
      <c r="AO178" s="29"/>
      <c r="AP178" s="30"/>
      <c r="AQ178" s="55"/>
      <c r="AR178" s="29"/>
      <c r="AS178" s="29"/>
      <c r="AT178" s="30"/>
      <c r="AU178" s="172" t="s">
        <v>608</v>
      </c>
      <c r="AV178" s="29"/>
      <c r="AW178" s="29"/>
      <c r="AX178" s="30"/>
      <c r="AY178" s="55"/>
      <c r="AZ178" s="29"/>
      <c r="BA178" s="29"/>
      <c r="BB178" s="30"/>
      <c r="BC178" s="172" t="s">
        <v>751</v>
      </c>
      <c r="BD178" s="29"/>
      <c r="BE178" s="29"/>
      <c r="BF178" s="30"/>
      <c r="BG178" s="55"/>
      <c r="BH178" s="29"/>
      <c r="BI178" s="29"/>
      <c r="BJ178" s="30"/>
      <c r="BK178" s="172" t="s">
        <v>751</v>
      </c>
      <c r="BL178" s="29"/>
      <c r="BM178" s="29"/>
      <c r="BN178" s="30"/>
      <c r="BO178" s="55"/>
      <c r="BP178" s="29"/>
      <c r="BQ178" s="29"/>
      <c r="BR178" s="30"/>
      <c r="BS178" s="55"/>
      <c r="BT178" s="29"/>
      <c r="BU178" s="29"/>
      <c r="BV178" s="30"/>
      <c r="BW178" s="55"/>
      <c r="BX178" s="29"/>
      <c r="BY178" s="29"/>
      <c r="BZ178" s="30"/>
      <c r="CA178" s="31"/>
    </row>
    <row r="179" spans="2:79" hidden="1">
      <c r="B179" s="297"/>
      <c r="C179" s="307" t="s">
        <v>324</v>
      </c>
      <c r="D179" s="299" t="str">
        <f t="shared" si="36"/>
        <v xml:space="preserve"> 126</v>
      </c>
      <c r="E179" s="308" t="s">
        <v>324</v>
      </c>
      <c r="F179" s="301">
        <f t="shared" si="37"/>
        <v>0</v>
      </c>
      <c r="G179" s="302" t="s">
        <v>1063</v>
      </c>
      <c r="H179" s="302" t="s">
        <v>292</v>
      </c>
      <c r="I179" s="302" t="s">
        <v>1124</v>
      </c>
      <c r="J179" s="303">
        <v>77000</v>
      </c>
      <c r="K179" s="312">
        <f t="shared" si="47"/>
        <v>7500</v>
      </c>
      <c r="L179" s="301" t="s">
        <v>69</v>
      </c>
      <c r="M179" s="305">
        <f t="shared" si="46"/>
        <v>69500</v>
      </c>
      <c r="N179" s="316">
        <v>7500</v>
      </c>
      <c r="O179" s="306">
        <f t="shared" si="44"/>
        <v>77000</v>
      </c>
      <c r="P179" s="294"/>
      <c r="Q179" s="292" t="s">
        <v>1178</v>
      </c>
      <c r="R179" s="22"/>
      <c r="S179" s="22">
        <f t="shared" si="34"/>
        <v>77000</v>
      </c>
      <c r="T179" s="22">
        <f t="shared" si="38"/>
        <v>110000</v>
      </c>
      <c r="U179" s="23">
        <f t="shared" si="39"/>
        <v>125714.28571428571</v>
      </c>
      <c r="V179" s="24">
        <f t="shared" si="40"/>
        <v>0.12499999999999997</v>
      </c>
      <c r="W179" s="23">
        <f t="shared" si="41"/>
        <v>125800</v>
      </c>
      <c r="X179" s="164">
        <f t="shared" si="35"/>
        <v>0.3</v>
      </c>
      <c r="Y179" s="25"/>
      <c r="Z179" s="25"/>
      <c r="AA179" s="25"/>
      <c r="AB179" s="34"/>
      <c r="AC179" s="164"/>
      <c r="AD179" s="35"/>
      <c r="AE179" s="36"/>
      <c r="AF179" s="29"/>
      <c r="AG179" s="29"/>
      <c r="AH179" s="30"/>
      <c r="AI179" s="55"/>
      <c r="AJ179" s="29"/>
      <c r="AK179" s="29"/>
      <c r="AL179" s="30"/>
      <c r="AM179" s="172" t="s">
        <v>608</v>
      </c>
      <c r="AN179" s="29"/>
      <c r="AO179" s="29"/>
      <c r="AP179" s="30"/>
      <c r="AQ179" s="55"/>
      <c r="AR179" s="29"/>
      <c r="AS179" s="29"/>
      <c r="AT179" s="30"/>
      <c r="AU179" s="55"/>
      <c r="AV179" s="29"/>
      <c r="AW179" s="29"/>
      <c r="AX179" s="30"/>
      <c r="AY179" s="55"/>
      <c r="AZ179" s="29"/>
      <c r="BA179" s="29"/>
      <c r="BB179" s="30"/>
      <c r="BC179" s="55"/>
      <c r="BD179" s="29"/>
      <c r="BE179" s="29"/>
      <c r="BF179" s="30"/>
      <c r="BG179" s="55"/>
      <c r="BH179" s="29"/>
      <c r="BI179" s="29"/>
      <c r="BJ179" s="30"/>
      <c r="BK179" s="172" t="s">
        <v>751</v>
      </c>
      <c r="BL179" s="29"/>
      <c r="BM179" s="29"/>
      <c r="BN179" s="30"/>
      <c r="BO179" s="55"/>
      <c r="BP179" s="29"/>
      <c r="BQ179" s="29"/>
      <c r="BR179" s="30"/>
      <c r="BS179" s="55"/>
      <c r="BT179" s="29"/>
      <c r="BU179" s="29"/>
      <c r="BV179" s="30"/>
      <c r="BW179" s="55"/>
      <c r="BX179" s="29"/>
      <c r="BY179" s="29"/>
      <c r="BZ179" s="30"/>
      <c r="CA179" s="31"/>
    </row>
    <row r="180" spans="2:79" hidden="1">
      <c r="B180" s="297"/>
      <c r="C180" s="307" t="s">
        <v>1001</v>
      </c>
      <c r="D180" s="299" t="str">
        <f t="shared" si="36"/>
        <v xml:space="preserve"> 813</v>
      </c>
      <c r="E180" s="308" t="s">
        <v>1001</v>
      </c>
      <c r="F180" s="301">
        <f t="shared" si="37"/>
        <v>0</v>
      </c>
      <c r="G180" s="302" t="s">
        <v>1063</v>
      </c>
      <c r="H180" s="302" t="s">
        <v>292</v>
      </c>
      <c r="I180" s="302" t="s">
        <v>1124</v>
      </c>
      <c r="J180" s="303">
        <v>80000</v>
      </c>
      <c r="K180" s="312">
        <f t="shared" si="47"/>
        <v>7500</v>
      </c>
      <c r="L180" s="301" t="s">
        <v>69</v>
      </c>
      <c r="M180" s="305">
        <f t="shared" si="46"/>
        <v>72500</v>
      </c>
      <c r="N180" s="316">
        <v>7500</v>
      </c>
      <c r="O180" s="306">
        <f t="shared" si="44"/>
        <v>80000</v>
      </c>
      <c r="P180" s="294"/>
      <c r="Q180" s="292" t="s">
        <v>1178</v>
      </c>
      <c r="R180" s="22"/>
      <c r="S180" s="22">
        <f t="shared" si="34"/>
        <v>80000</v>
      </c>
      <c r="T180" s="22">
        <f t="shared" si="38"/>
        <v>114285.71428571429</v>
      </c>
      <c r="U180" s="23">
        <f t="shared" si="39"/>
        <v>130612.24489795919</v>
      </c>
      <c r="V180" s="24">
        <f t="shared" si="40"/>
        <v>0.12499999999999999</v>
      </c>
      <c r="W180" s="23">
        <f t="shared" si="41"/>
        <v>130700</v>
      </c>
      <c r="X180" s="164">
        <f t="shared" si="35"/>
        <v>0.30000000000000004</v>
      </c>
      <c r="Y180" s="188">
        <v>103071</v>
      </c>
      <c r="Z180" s="188">
        <f>T180-Y180</f>
        <v>11214.71428571429</v>
      </c>
      <c r="AA180" s="189">
        <f>Z180/Y180</f>
        <v>0.10880571921989977</v>
      </c>
      <c r="AB180" s="34"/>
      <c r="AC180" s="164"/>
      <c r="AD180" s="35"/>
      <c r="AE180" s="36"/>
      <c r="AF180" s="29"/>
      <c r="AG180" s="29"/>
      <c r="AH180" s="30"/>
      <c r="AI180" s="55"/>
      <c r="AJ180" s="29"/>
      <c r="AK180" s="29"/>
      <c r="AL180" s="30"/>
      <c r="AM180" s="172" t="s">
        <v>608</v>
      </c>
      <c r="AN180" s="29"/>
      <c r="AO180" s="29"/>
      <c r="AP180" s="30"/>
      <c r="AQ180" s="55"/>
      <c r="AR180" s="29"/>
      <c r="AS180" s="29"/>
      <c r="AT180" s="30"/>
      <c r="AU180" s="172" t="s">
        <v>608</v>
      </c>
      <c r="AV180" s="29"/>
      <c r="AW180" s="29"/>
      <c r="AX180" s="30"/>
      <c r="AY180" s="55"/>
      <c r="AZ180" s="29"/>
      <c r="BA180" s="29"/>
      <c r="BB180" s="30"/>
      <c r="BC180" s="172" t="s">
        <v>751</v>
      </c>
      <c r="BD180" s="29"/>
      <c r="BE180" s="29"/>
      <c r="BF180" s="30"/>
      <c r="BG180" s="55"/>
      <c r="BH180" s="29"/>
      <c r="BI180" s="29"/>
      <c r="BJ180" s="30"/>
      <c r="BK180" s="172" t="s">
        <v>751</v>
      </c>
      <c r="BL180" s="29"/>
      <c r="BM180" s="29"/>
      <c r="BN180" s="30"/>
      <c r="BO180" s="55"/>
      <c r="BP180" s="29"/>
      <c r="BQ180" s="29"/>
      <c r="BR180" s="30"/>
      <c r="BS180" s="55"/>
      <c r="BT180" s="29"/>
      <c r="BU180" s="29"/>
      <c r="BV180" s="30"/>
      <c r="BW180" s="55"/>
      <c r="BX180" s="29"/>
      <c r="BY180" s="29"/>
      <c r="BZ180" s="30"/>
      <c r="CA180" s="31"/>
    </row>
    <row r="181" spans="2:79" hidden="1">
      <c r="B181" s="297"/>
      <c r="C181" s="307" t="s">
        <v>1002</v>
      </c>
      <c r="D181" s="299" t="str">
        <f t="shared" si="36"/>
        <v xml:space="preserve"> 601</v>
      </c>
      <c r="E181" s="308" t="s">
        <v>1002</v>
      </c>
      <c r="F181" s="301">
        <f t="shared" si="37"/>
        <v>0</v>
      </c>
      <c r="G181" s="302" t="s">
        <v>1063</v>
      </c>
      <c r="H181" s="302" t="s">
        <v>292</v>
      </c>
      <c r="I181" s="302" t="s">
        <v>1124</v>
      </c>
      <c r="J181" s="303">
        <v>87000</v>
      </c>
      <c r="K181" s="312">
        <f t="shared" si="47"/>
        <v>6700</v>
      </c>
      <c r="L181" s="301" t="s">
        <v>69</v>
      </c>
      <c r="M181" s="305">
        <f t="shared" si="46"/>
        <v>80300</v>
      </c>
      <c r="N181" s="316">
        <v>6700</v>
      </c>
      <c r="O181" s="306">
        <f t="shared" si="44"/>
        <v>87000</v>
      </c>
      <c r="P181" s="294"/>
      <c r="Q181" s="292" t="s">
        <v>1199</v>
      </c>
      <c r="R181" s="22"/>
      <c r="S181" s="22">
        <f t="shared" si="34"/>
        <v>87000</v>
      </c>
      <c r="T181" s="22">
        <f t="shared" si="38"/>
        <v>124285.71428571429</v>
      </c>
      <c r="U181" s="23">
        <f t="shared" si="39"/>
        <v>142040.81632653062</v>
      </c>
      <c r="V181" s="24">
        <f t="shared" si="40"/>
        <v>0.12500000000000003</v>
      </c>
      <c r="W181" s="23">
        <f t="shared" si="41"/>
        <v>142100</v>
      </c>
      <c r="X181" s="164">
        <f t="shared" si="35"/>
        <v>0.30000000000000004</v>
      </c>
      <c r="Y181" s="188">
        <v>102857</v>
      </c>
      <c r="Z181" s="188">
        <f>T181-Y181</f>
        <v>21428.71428571429</v>
      </c>
      <c r="AA181" s="189">
        <f>Z181/Y181</f>
        <v>0.20833501157640502</v>
      </c>
      <c r="AB181" s="34"/>
      <c r="AC181" s="164"/>
      <c r="AD181" s="35"/>
      <c r="AE181" s="36"/>
      <c r="AF181" s="29"/>
      <c r="AG181" s="29"/>
      <c r="AH181" s="30"/>
      <c r="AI181" s="55"/>
      <c r="AJ181" s="29"/>
      <c r="AK181" s="29"/>
      <c r="AL181" s="30"/>
      <c r="AM181" s="172" t="s">
        <v>608</v>
      </c>
      <c r="AN181" s="29"/>
      <c r="AO181" s="29"/>
      <c r="AP181" s="30"/>
      <c r="AQ181" s="55"/>
      <c r="AR181" s="29"/>
      <c r="AS181" s="29"/>
      <c r="AT181" s="30"/>
      <c r="AU181" s="172" t="s">
        <v>608</v>
      </c>
      <c r="AV181" s="29"/>
      <c r="AW181" s="29"/>
      <c r="AX181" s="30"/>
      <c r="AY181" s="55"/>
      <c r="AZ181" s="29"/>
      <c r="BA181" s="29"/>
      <c r="BB181" s="30"/>
      <c r="BC181" s="172" t="s">
        <v>751</v>
      </c>
      <c r="BD181" s="29"/>
      <c r="BE181" s="29"/>
      <c r="BF181" s="30"/>
      <c r="BG181" s="55"/>
      <c r="BH181" s="29"/>
      <c r="BI181" s="29"/>
      <c r="BJ181" s="30"/>
      <c r="BK181" s="172" t="s">
        <v>751</v>
      </c>
      <c r="BL181" s="29"/>
      <c r="BM181" s="29"/>
      <c r="BN181" s="30"/>
      <c r="BO181" s="55"/>
      <c r="BP181" s="29"/>
      <c r="BQ181" s="29"/>
      <c r="BR181" s="30"/>
      <c r="BS181" s="55"/>
      <c r="BT181" s="29"/>
      <c r="BU181" s="29"/>
      <c r="BV181" s="30"/>
      <c r="BW181" s="55"/>
      <c r="BX181" s="29"/>
      <c r="BY181" s="29"/>
      <c r="BZ181" s="30"/>
      <c r="CA181" s="31"/>
    </row>
    <row r="182" spans="2:79" hidden="1">
      <c r="B182" s="297"/>
      <c r="C182" s="307" t="s">
        <v>793</v>
      </c>
      <c r="D182" s="299" t="str">
        <f t="shared" si="36"/>
        <v xml:space="preserve"> 953</v>
      </c>
      <c r="E182" s="308" t="s">
        <v>793</v>
      </c>
      <c r="F182" s="301">
        <f t="shared" si="37"/>
        <v>0</v>
      </c>
      <c r="G182" s="302" t="s">
        <v>35</v>
      </c>
      <c r="H182" s="302" t="s">
        <v>1081</v>
      </c>
      <c r="I182" s="302" t="s">
        <v>1124</v>
      </c>
      <c r="J182" s="303">
        <v>100000</v>
      </c>
      <c r="K182" s="312">
        <f t="shared" si="47"/>
        <v>7500</v>
      </c>
      <c r="L182" s="301" t="s">
        <v>69</v>
      </c>
      <c r="M182" s="305">
        <f t="shared" si="46"/>
        <v>92500</v>
      </c>
      <c r="N182" s="316">
        <v>7500</v>
      </c>
      <c r="O182" s="306">
        <f t="shared" ref="O182:O211" si="48">M182+N182</f>
        <v>100000</v>
      </c>
      <c r="P182" s="294"/>
      <c r="Q182" s="292" t="s">
        <v>1178</v>
      </c>
      <c r="R182" s="22"/>
      <c r="S182" s="22">
        <f t="shared" si="34"/>
        <v>100000</v>
      </c>
      <c r="T182" s="22">
        <f t="shared" si="38"/>
        <v>142857.14285714287</v>
      </c>
      <c r="U182" s="23">
        <f t="shared" si="39"/>
        <v>163265.30612244899</v>
      </c>
      <c r="V182" s="24">
        <f t="shared" si="40"/>
        <v>0.125</v>
      </c>
      <c r="W182" s="23">
        <f t="shared" si="41"/>
        <v>163300</v>
      </c>
      <c r="X182" s="164">
        <f t="shared" si="35"/>
        <v>0.30000000000000004</v>
      </c>
      <c r="Y182" s="25"/>
      <c r="Z182" s="25"/>
      <c r="AA182" s="25"/>
      <c r="AB182" s="34"/>
      <c r="AC182" s="164"/>
      <c r="AD182" s="35"/>
      <c r="AE182" s="36"/>
      <c r="AF182" s="29"/>
      <c r="AG182" s="29"/>
      <c r="AH182" s="30"/>
      <c r="AI182" s="55"/>
      <c r="AJ182" s="29"/>
      <c r="AK182" s="29"/>
      <c r="AL182" s="30"/>
      <c r="AM182" s="172" t="s">
        <v>608</v>
      </c>
      <c r="AN182" s="29"/>
      <c r="AO182" s="29"/>
      <c r="AP182" s="30"/>
      <c r="AQ182" s="55"/>
      <c r="AR182" s="29"/>
      <c r="AS182" s="29"/>
      <c r="AT182" s="30"/>
      <c r="AU182" s="172" t="s">
        <v>608</v>
      </c>
      <c r="AV182" s="29"/>
      <c r="AW182" s="29"/>
      <c r="AX182" s="30"/>
      <c r="AY182" s="55"/>
      <c r="AZ182" s="29"/>
      <c r="BA182" s="29"/>
      <c r="BB182" s="30"/>
      <c r="BC182" s="172" t="s">
        <v>751</v>
      </c>
      <c r="BD182" s="29"/>
      <c r="BE182" s="29"/>
      <c r="BF182" s="30"/>
      <c r="BG182" s="55"/>
      <c r="BH182" s="29"/>
      <c r="BI182" s="29"/>
      <c r="BJ182" s="30"/>
      <c r="BK182" s="172" t="s">
        <v>751</v>
      </c>
      <c r="BL182" s="29"/>
      <c r="BM182" s="29"/>
      <c r="BN182" s="30"/>
      <c r="BO182" s="55"/>
      <c r="BP182" s="29"/>
      <c r="BQ182" s="29"/>
      <c r="BR182" s="30"/>
      <c r="BS182" s="55"/>
      <c r="BT182" s="29"/>
      <c r="BU182" s="29"/>
      <c r="BV182" s="30"/>
      <c r="BW182" s="55"/>
      <c r="BX182" s="29"/>
      <c r="BY182" s="29"/>
      <c r="BZ182" s="30"/>
      <c r="CA182" s="31"/>
    </row>
    <row r="183" spans="2:79" hidden="1">
      <c r="B183" s="297"/>
      <c r="C183" s="307" t="s">
        <v>1003</v>
      </c>
      <c r="D183" s="299" t="str">
        <f t="shared" si="36"/>
        <v xml:space="preserve"> 386</v>
      </c>
      <c r="E183" s="308" t="s">
        <v>1003</v>
      </c>
      <c r="F183" s="301">
        <f t="shared" si="37"/>
        <v>0</v>
      </c>
      <c r="G183" s="302" t="s">
        <v>1063</v>
      </c>
      <c r="H183" s="302" t="s">
        <v>241</v>
      </c>
      <c r="I183" s="302" t="s">
        <v>1125</v>
      </c>
      <c r="J183" s="303">
        <v>107500</v>
      </c>
      <c r="K183" s="312">
        <f t="shared" si="47"/>
        <v>6450</v>
      </c>
      <c r="L183" s="301" t="s">
        <v>69</v>
      </c>
      <c r="M183" s="305">
        <f t="shared" si="46"/>
        <v>101050</v>
      </c>
      <c r="N183" s="316">
        <v>6450</v>
      </c>
      <c r="O183" s="306">
        <f t="shared" si="48"/>
        <v>107500</v>
      </c>
      <c r="P183" s="294"/>
      <c r="Q183" s="292" t="s">
        <v>1200</v>
      </c>
      <c r="R183" s="22"/>
      <c r="S183" s="22">
        <f t="shared" si="34"/>
        <v>107500</v>
      </c>
      <c r="T183" s="22">
        <f t="shared" si="38"/>
        <v>153571.42857142858</v>
      </c>
      <c r="U183" s="23">
        <f t="shared" si="39"/>
        <v>175510.20408163266</v>
      </c>
      <c r="V183" s="24">
        <f t="shared" si="40"/>
        <v>0.125</v>
      </c>
      <c r="W183" s="23">
        <f t="shared" si="41"/>
        <v>175600</v>
      </c>
      <c r="X183" s="164">
        <f t="shared" si="35"/>
        <v>0.30000000000000004</v>
      </c>
      <c r="Y183" s="25"/>
      <c r="Z183" s="25"/>
      <c r="AA183" s="25"/>
      <c r="AB183" s="34"/>
      <c r="AC183" s="164"/>
      <c r="AD183" s="35"/>
      <c r="AE183" s="36"/>
      <c r="AF183" s="29"/>
      <c r="AG183" s="29"/>
      <c r="AH183" s="30"/>
      <c r="AI183" s="55"/>
      <c r="AJ183" s="29"/>
      <c r="AK183" s="29"/>
      <c r="AL183" s="30"/>
      <c r="AM183" s="172" t="s">
        <v>608</v>
      </c>
      <c r="AN183" s="29"/>
      <c r="AO183" s="29"/>
      <c r="AP183" s="30"/>
      <c r="AQ183" s="55"/>
      <c r="AR183" s="29"/>
      <c r="AS183" s="29"/>
      <c r="AT183" s="30"/>
      <c r="AU183" s="172" t="s">
        <v>608</v>
      </c>
      <c r="AV183" s="29"/>
      <c r="AW183" s="29"/>
      <c r="AX183" s="30"/>
      <c r="AY183" s="55"/>
      <c r="AZ183" s="29"/>
      <c r="BA183" s="29"/>
      <c r="BB183" s="30"/>
      <c r="BC183" s="172" t="s">
        <v>751</v>
      </c>
      <c r="BD183" s="29"/>
      <c r="BE183" s="29"/>
      <c r="BF183" s="30"/>
      <c r="BG183" s="55"/>
      <c r="BH183" s="29"/>
      <c r="BI183" s="29"/>
      <c r="BJ183" s="30"/>
      <c r="BK183" s="172" t="s">
        <v>751</v>
      </c>
      <c r="BL183" s="29"/>
      <c r="BM183" s="29"/>
      <c r="BN183" s="30"/>
      <c r="BO183" s="55"/>
      <c r="BP183" s="29"/>
      <c r="BQ183" s="29"/>
      <c r="BR183" s="30"/>
      <c r="BS183" s="55"/>
      <c r="BT183" s="29"/>
      <c r="BU183" s="29"/>
      <c r="BV183" s="30"/>
      <c r="BW183" s="55"/>
      <c r="BX183" s="29"/>
      <c r="BY183" s="29"/>
      <c r="BZ183" s="30"/>
      <c r="CA183" s="31"/>
    </row>
    <row r="184" spans="2:79" hidden="1">
      <c r="B184" s="297"/>
      <c r="C184" s="307" t="s">
        <v>1004</v>
      </c>
      <c r="D184" s="299" t="str">
        <f t="shared" si="36"/>
        <v xml:space="preserve"> 375</v>
      </c>
      <c r="E184" s="308" t="s">
        <v>1004</v>
      </c>
      <c r="F184" s="301">
        <f t="shared" si="37"/>
        <v>0</v>
      </c>
      <c r="G184" s="302" t="s">
        <v>1063</v>
      </c>
      <c r="H184" s="302" t="s">
        <v>250</v>
      </c>
      <c r="I184" s="302" t="s">
        <v>1125</v>
      </c>
      <c r="J184" s="313">
        <f>M184</f>
        <v>101000</v>
      </c>
      <c r="K184" s="312">
        <f t="shared" si="47"/>
        <v>0</v>
      </c>
      <c r="L184" s="314" t="s">
        <v>67</v>
      </c>
      <c r="M184" s="313">
        <v>101000</v>
      </c>
      <c r="N184" s="316">
        <v>6450</v>
      </c>
      <c r="O184" s="306">
        <f t="shared" si="48"/>
        <v>107450</v>
      </c>
      <c r="P184" s="294"/>
      <c r="Q184" s="292" t="s">
        <v>1200</v>
      </c>
      <c r="R184" s="22"/>
      <c r="S184" s="22">
        <f t="shared" si="34"/>
        <v>107450</v>
      </c>
      <c r="T184" s="22">
        <f t="shared" si="38"/>
        <v>153500</v>
      </c>
      <c r="U184" s="23">
        <f t="shared" si="39"/>
        <v>175428.57142857142</v>
      </c>
      <c r="V184" s="24">
        <f t="shared" si="40"/>
        <v>0.12499999999999996</v>
      </c>
      <c r="W184" s="23">
        <f t="shared" si="41"/>
        <v>175500</v>
      </c>
      <c r="X184" s="164">
        <f t="shared" si="35"/>
        <v>0.3</v>
      </c>
      <c r="Y184" s="25"/>
      <c r="Z184" s="25"/>
      <c r="AA184" s="25"/>
      <c r="AB184" s="34"/>
      <c r="AC184" s="164"/>
      <c r="AD184" s="35"/>
      <c r="AE184" s="36"/>
      <c r="AF184" s="29"/>
      <c r="AG184" s="29"/>
      <c r="AH184" s="30"/>
      <c r="AI184" s="55"/>
      <c r="AJ184" s="29"/>
      <c r="AK184" s="29"/>
      <c r="AL184" s="30"/>
      <c r="AM184" s="172" t="s">
        <v>608</v>
      </c>
      <c r="AN184" s="29"/>
      <c r="AO184" s="29"/>
      <c r="AP184" s="30"/>
      <c r="AQ184" s="55"/>
      <c r="AR184" s="29"/>
      <c r="AS184" s="29"/>
      <c r="AT184" s="30"/>
      <c r="AU184" s="172" t="s">
        <v>608</v>
      </c>
      <c r="AV184" s="29"/>
      <c r="AW184" s="29"/>
      <c r="AX184" s="30"/>
      <c r="AY184" s="55"/>
      <c r="AZ184" s="29"/>
      <c r="BA184" s="29"/>
      <c r="BB184" s="30"/>
      <c r="BC184" s="172" t="s">
        <v>751</v>
      </c>
      <c r="BD184" s="29"/>
      <c r="BE184" s="29"/>
      <c r="BF184" s="30"/>
      <c r="BG184" s="55"/>
      <c r="BH184" s="29"/>
      <c r="BI184" s="29"/>
      <c r="BJ184" s="30"/>
      <c r="BK184" s="172" t="s">
        <v>751</v>
      </c>
      <c r="BL184" s="29"/>
      <c r="BM184" s="29"/>
      <c r="BN184" s="30"/>
      <c r="BO184" s="55"/>
      <c r="BP184" s="29"/>
      <c r="BQ184" s="29"/>
      <c r="BR184" s="30"/>
      <c r="BS184" s="55"/>
      <c r="BT184" s="29"/>
      <c r="BU184" s="29"/>
      <c r="BV184" s="30"/>
      <c r="BW184" s="55"/>
      <c r="BX184" s="29"/>
      <c r="BY184" s="29"/>
      <c r="BZ184" s="30"/>
      <c r="CA184" s="31"/>
    </row>
    <row r="185" spans="2:79" hidden="1">
      <c r="B185" s="297"/>
      <c r="C185" s="307" t="s">
        <v>254</v>
      </c>
      <c r="D185" s="299" t="str">
        <f t="shared" si="36"/>
        <v xml:space="preserve"> 431</v>
      </c>
      <c r="E185" s="308" t="s">
        <v>254</v>
      </c>
      <c r="F185" s="301">
        <f t="shared" si="37"/>
        <v>0</v>
      </c>
      <c r="G185" s="302" t="s">
        <v>35</v>
      </c>
      <c r="H185" s="302" t="s">
        <v>241</v>
      </c>
      <c r="I185" s="302" t="s">
        <v>1125</v>
      </c>
      <c r="J185" s="313">
        <f t="shared" ref="J185:J203" si="49">M185</f>
        <v>101000</v>
      </c>
      <c r="K185" s="312">
        <f t="shared" si="47"/>
        <v>0</v>
      </c>
      <c r="L185" s="314" t="s">
        <v>67</v>
      </c>
      <c r="M185" s="318">
        <v>101000</v>
      </c>
      <c r="N185" s="316">
        <v>6150</v>
      </c>
      <c r="O185" s="306">
        <f t="shared" si="48"/>
        <v>107150</v>
      </c>
      <c r="P185" s="294"/>
      <c r="Q185" s="292" t="s">
        <v>1201</v>
      </c>
      <c r="R185" s="22"/>
      <c r="S185" s="22">
        <f t="shared" si="34"/>
        <v>107150</v>
      </c>
      <c r="T185" s="22">
        <f t="shared" si="38"/>
        <v>153071.42857142858</v>
      </c>
      <c r="U185" s="23">
        <f t="shared" si="39"/>
        <v>174938.77551020408</v>
      </c>
      <c r="V185" s="24">
        <f t="shared" si="40"/>
        <v>0.12499999999999996</v>
      </c>
      <c r="W185" s="23">
        <f t="shared" si="41"/>
        <v>175000</v>
      </c>
      <c r="X185" s="164">
        <f t="shared" si="35"/>
        <v>0.30000000000000004</v>
      </c>
      <c r="Y185" s="25"/>
      <c r="Z185" s="25"/>
      <c r="AA185" s="25"/>
      <c r="AB185" s="34"/>
      <c r="AC185" s="164"/>
      <c r="AD185" s="35"/>
      <c r="AE185" s="36"/>
      <c r="AF185" s="29"/>
      <c r="AG185" s="29"/>
      <c r="AH185" s="30"/>
      <c r="AI185" s="55"/>
      <c r="AJ185" s="29"/>
      <c r="AK185" s="29"/>
      <c r="AL185" s="30"/>
      <c r="AM185" s="172" t="s">
        <v>608</v>
      </c>
      <c r="AN185" s="29"/>
      <c r="AO185" s="29"/>
      <c r="AP185" s="30"/>
      <c r="AQ185" s="55"/>
      <c r="AR185" s="29"/>
      <c r="AS185" s="29"/>
      <c r="AT185" s="30"/>
      <c r="AU185" s="172" t="s">
        <v>608</v>
      </c>
      <c r="AV185" s="29"/>
      <c r="AW185" s="29"/>
      <c r="AX185" s="30"/>
      <c r="AY185" s="55"/>
      <c r="AZ185" s="29"/>
      <c r="BA185" s="29"/>
      <c r="BB185" s="30"/>
      <c r="BC185" s="172" t="s">
        <v>751</v>
      </c>
      <c r="BD185" s="29"/>
      <c r="BE185" s="29"/>
      <c r="BF185" s="30"/>
      <c r="BG185" s="55"/>
      <c r="BH185" s="29"/>
      <c r="BI185" s="29"/>
      <c r="BJ185" s="30"/>
      <c r="BK185" s="172" t="s">
        <v>751</v>
      </c>
      <c r="BL185" s="29"/>
      <c r="BM185" s="29"/>
      <c r="BN185" s="30"/>
      <c r="BO185" s="55"/>
      <c r="BP185" s="29"/>
      <c r="BQ185" s="29"/>
      <c r="BR185" s="30"/>
      <c r="BS185" s="55"/>
      <c r="BT185" s="29"/>
      <c r="BU185" s="29"/>
      <c r="BV185" s="30"/>
      <c r="BW185" s="55"/>
      <c r="BX185" s="29"/>
      <c r="BY185" s="29"/>
      <c r="BZ185" s="30"/>
      <c r="CA185" s="31"/>
    </row>
    <row r="186" spans="2:79" hidden="1">
      <c r="B186" s="297"/>
      <c r="C186" s="307" t="s">
        <v>243</v>
      </c>
      <c r="D186" s="299" t="str">
        <f t="shared" si="36"/>
        <v xml:space="preserve"> 722</v>
      </c>
      <c r="E186" s="308" t="s">
        <v>243</v>
      </c>
      <c r="F186" s="301">
        <f t="shared" si="37"/>
        <v>0</v>
      </c>
      <c r="G186" s="302" t="s">
        <v>35</v>
      </c>
      <c r="H186" s="302" t="s">
        <v>1069</v>
      </c>
      <c r="I186" s="302" t="s">
        <v>1125</v>
      </c>
      <c r="J186" s="313">
        <f t="shared" si="49"/>
        <v>88500</v>
      </c>
      <c r="K186" s="312">
        <f t="shared" si="47"/>
        <v>0</v>
      </c>
      <c r="L186" s="314" t="s">
        <v>67</v>
      </c>
      <c r="M186" s="318">
        <v>88500</v>
      </c>
      <c r="N186" s="316">
        <v>6950</v>
      </c>
      <c r="O186" s="306">
        <f t="shared" si="48"/>
        <v>95450</v>
      </c>
      <c r="P186" s="294"/>
      <c r="Q186" s="292" t="s">
        <v>1202</v>
      </c>
      <c r="R186" s="22"/>
      <c r="S186" s="22">
        <f t="shared" si="34"/>
        <v>95450</v>
      </c>
      <c r="T186" s="22">
        <f t="shared" si="38"/>
        <v>136357.14285714287</v>
      </c>
      <c r="U186" s="23">
        <f t="shared" si="39"/>
        <v>155836.73469387757</v>
      </c>
      <c r="V186" s="24">
        <f t="shared" si="40"/>
        <v>0.12500000000000006</v>
      </c>
      <c r="W186" s="23">
        <f t="shared" si="41"/>
        <v>155900</v>
      </c>
      <c r="X186" s="164">
        <f t="shared" si="35"/>
        <v>0.30000000000000004</v>
      </c>
      <c r="Y186" s="25"/>
      <c r="Z186" s="25"/>
      <c r="AA186" s="25"/>
      <c r="AB186" s="34"/>
      <c r="AC186" s="164"/>
      <c r="AD186" s="35"/>
      <c r="AE186" s="36"/>
      <c r="AF186" s="29"/>
      <c r="AG186" s="29"/>
      <c r="AH186" s="30"/>
      <c r="AI186" s="55"/>
      <c r="AJ186" s="29"/>
      <c r="AK186" s="29"/>
      <c r="AL186" s="30"/>
      <c r="AM186" s="172" t="s">
        <v>608</v>
      </c>
      <c r="AN186" s="29"/>
      <c r="AO186" s="29"/>
      <c r="AP186" s="30"/>
      <c r="AQ186" s="55"/>
      <c r="AR186" s="29"/>
      <c r="AS186" s="29"/>
      <c r="AT186" s="30"/>
      <c r="AU186" s="172" t="s">
        <v>608</v>
      </c>
      <c r="AV186" s="29"/>
      <c r="AW186" s="29"/>
      <c r="AX186" s="30"/>
      <c r="AY186" s="55"/>
      <c r="AZ186" s="29"/>
      <c r="BA186" s="29"/>
      <c r="BB186" s="30"/>
      <c r="BC186" s="172" t="s">
        <v>751</v>
      </c>
      <c r="BD186" s="29"/>
      <c r="BE186" s="29"/>
      <c r="BF186" s="30"/>
      <c r="BG186" s="55"/>
      <c r="BH186" s="29"/>
      <c r="BI186" s="29"/>
      <c r="BJ186" s="30"/>
      <c r="BK186" s="172" t="s">
        <v>751</v>
      </c>
      <c r="BL186" s="29"/>
      <c r="BM186" s="29"/>
      <c r="BN186" s="30"/>
      <c r="BO186" s="55"/>
      <c r="BP186" s="29"/>
      <c r="BQ186" s="29"/>
      <c r="BR186" s="30"/>
      <c r="BS186" s="55"/>
      <c r="BT186" s="29"/>
      <c r="BU186" s="29"/>
      <c r="BV186" s="30"/>
      <c r="BW186" s="55"/>
      <c r="BX186" s="29"/>
      <c r="BY186" s="29"/>
      <c r="BZ186" s="30"/>
      <c r="CA186" s="31"/>
    </row>
    <row r="187" spans="2:79" hidden="1">
      <c r="B187" s="297"/>
      <c r="C187" s="307" t="s">
        <v>232</v>
      </c>
      <c r="D187" s="299" t="str">
        <f t="shared" si="36"/>
        <v xml:space="preserve"> 658</v>
      </c>
      <c r="E187" s="308" t="s">
        <v>232</v>
      </c>
      <c r="F187" s="301">
        <f t="shared" si="37"/>
        <v>0</v>
      </c>
      <c r="G187" s="302" t="s">
        <v>35</v>
      </c>
      <c r="H187" s="302" t="s">
        <v>229</v>
      </c>
      <c r="I187" s="302" t="s">
        <v>1125</v>
      </c>
      <c r="J187" s="313">
        <f t="shared" si="49"/>
        <v>69000</v>
      </c>
      <c r="K187" s="312">
        <f t="shared" si="47"/>
        <v>0</v>
      </c>
      <c r="L187" s="314" t="s">
        <v>67</v>
      </c>
      <c r="M187" s="318">
        <v>69000</v>
      </c>
      <c r="N187" s="316">
        <v>4450</v>
      </c>
      <c r="O187" s="306">
        <f t="shared" si="48"/>
        <v>73450</v>
      </c>
      <c r="P187" s="294"/>
      <c r="Q187" s="292" t="s">
        <v>1203</v>
      </c>
      <c r="R187" s="22"/>
      <c r="S187" s="22">
        <f t="shared" si="34"/>
        <v>73450</v>
      </c>
      <c r="T187" s="22">
        <f t="shared" si="38"/>
        <v>104928.57142857143</v>
      </c>
      <c r="U187" s="23">
        <f t="shared" si="39"/>
        <v>119918.36734693879</v>
      </c>
      <c r="V187" s="24">
        <f t="shared" si="40"/>
        <v>0.12500000000000003</v>
      </c>
      <c r="W187" s="23">
        <f t="shared" si="41"/>
        <v>120000</v>
      </c>
      <c r="X187" s="164">
        <f t="shared" si="35"/>
        <v>0.30000000000000004</v>
      </c>
      <c r="Y187" s="188">
        <v>107143</v>
      </c>
      <c r="Z187" s="188">
        <f>T187-Y187</f>
        <v>-2214.4285714285652</v>
      </c>
      <c r="AA187" s="189">
        <f>Z187/Y187</f>
        <v>-2.0667972442703353E-2</v>
      </c>
      <c r="AB187" s="34"/>
      <c r="AC187" s="164"/>
      <c r="AD187" s="35"/>
      <c r="AE187" s="36"/>
      <c r="AF187" s="29"/>
      <c r="AG187" s="29"/>
      <c r="AH187" s="30"/>
      <c r="AI187" s="55"/>
      <c r="AJ187" s="29"/>
      <c r="AK187" s="29"/>
      <c r="AL187" s="30"/>
      <c r="AM187" s="172" t="s">
        <v>608</v>
      </c>
      <c r="AN187" s="29"/>
      <c r="AO187" s="29"/>
      <c r="AP187" s="30"/>
      <c r="AQ187" s="55"/>
      <c r="AR187" s="29"/>
      <c r="AS187" s="29"/>
      <c r="AT187" s="30"/>
      <c r="AU187" s="172" t="s">
        <v>608</v>
      </c>
      <c r="AV187" s="29"/>
      <c r="AW187" s="29"/>
      <c r="AX187" s="30"/>
      <c r="AY187" s="55"/>
      <c r="AZ187" s="29"/>
      <c r="BA187" s="29"/>
      <c r="BB187" s="30"/>
      <c r="BC187" s="172" t="s">
        <v>751</v>
      </c>
      <c r="BD187" s="29"/>
      <c r="BE187" s="29"/>
      <c r="BF187" s="30"/>
      <c r="BG187" s="55"/>
      <c r="BH187" s="29"/>
      <c r="BI187" s="29"/>
      <c r="BJ187" s="30"/>
      <c r="BK187" s="172" t="s">
        <v>751</v>
      </c>
      <c r="BL187" s="29"/>
      <c r="BM187" s="29"/>
      <c r="BN187" s="30"/>
      <c r="BO187" s="55"/>
      <c r="BP187" s="29"/>
      <c r="BQ187" s="29"/>
      <c r="BR187" s="30"/>
      <c r="BS187" s="55"/>
      <c r="BT187" s="29"/>
      <c r="BU187" s="29"/>
      <c r="BV187" s="30"/>
      <c r="BW187" s="55"/>
      <c r="BX187" s="29"/>
      <c r="BY187" s="29"/>
      <c r="BZ187" s="30"/>
      <c r="CA187" s="31"/>
    </row>
    <row r="188" spans="2:79" hidden="1">
      <c r="B188" s="297"/>
      <c r="C188" s="307" t="s">
        <v>639</v>
      </c>
      <c r="D188" s="299" t="str">
        <f t="shared" si="36"/>
        <v xml:space="preserve"> 153</v>
      </c>
      <c r="E188" s="308" t="s">
        <v>639</v>
      </c>
      <c r="F188" s="301">
        <f t="shared" si="37"/>
        <v>0</v>
      </c>
      <c r="G188" s="302" t="s">
        <v>35</v>
      </c>
      <c r="H188" s="302" t="s">
        <v>137</v>
      </c>
      <c r="I188" s="302" t="s">
        <v>1125</v>
      </c>
      <c r="J188" s="313">
        <f t="shared" si="49"/>
        <v>81500</v>
      </c>
      <c r="K188" s="312">
        <f t="shared" si="47"/>
        <v>0</v>
      </c>
      <c r="L188" s="314" t="s">
        <v>67</v>
      </c>
      <c r="M188" s="318">
        <v>81500</v>
      </c>
      <c r="N188" s="316">
        <v>6650</v>
      </c>
      <c r="O188" s="306">
        <f t="shared" si="48"/>
        <v>88150</v>
      </c>
      <c r="P188" s="294"/>
      <c r="Q188" s="292" t="s">
        <v>1184</v>
      </c>
      <c r="R188" s="22"/>
      <c r="S188" s="22">
        <f t="shared" si="34"/>
        <v>88150</v>
      </c>
      <c r="T188" s="22">
        <f t="shared" si="38"/>
        <v>125928.57142857143</v>
      </c>
      <c r="U188" s="23">
        <f t="shared" si="39"/>
        <v>143918.36734693879</v>
      </c>
      <c r="V188" s="24">
        <f t="shared" si="40"/>
        <v>0.12500000000000003</v>
      </c>
      <c r="W188" s="23">
        <f t="shared" si="41"/>
        <v>144000</v>
      </c>
      <c r="X188" s="164">
        <f t="shared" si="35"/>
        <v>0.30000000000000004</v>
      </c>
      <c r="Y188" s="25"/>
      <c r="Z188" s="25"/>
      <c r="AA188" s="37"/>
      <c r="AB188" s="26"/>
      <c r="AC188" s="164"/>
      <c r="AD188" s="35"/>
      <c r="AE188" s="36"/>
      <c r="AF188" s="29"/>
      <c r="AG188" s="29"/>
      <c r="AH188" s="30"/>
      <c r="AI188" s="55"/>
      <c r="AJ188" s="29"/>
      <c r="AK188" s="29"/>
      <c r="AL188" s="30"/>
      <c r="AM188" s="172" t="s">
        <v>608</v>
      </c>
      <c r="AN188" s="29"/>
      <c r="AO188" s="29"/>
      <c r="AP188" s="30"/>
      <c r="AQ188" s="55"/>
      <c r="AR188" s="29"/>
      <c r="AS188" s="29"/>
      <c r="AT188" s="30"/>
      <c r="AU188" s="172" t="s">
        <v>608</v>
      </c>
      <c r="AV188" s="29"/>
      <c r="AW188" s="29"/>
      <c r="AX188" s="30"/>
      <c r="AY188" s="55"/>
      <c r="AZ188" s="29"/>
      <c r="BA188" s="29"/>
      <c r="BB188" s="30"/>
      <c r="BC188" s="172" t="s">
        <v>751</v>
      </c>
      <c r="BD188" s="29"/>
      <c r="BE188" s="29"/>
      <c r="BF188" s="30"/>
      <c r="BG188" s="55"/>
      <c r="BH188" s="29"/>
      <c r="BI188" s="29"/>
      <c r="BJ188" s="30"/>
      <c r="BK188" s="172" t="s">
        <v>751</v>
      </c>
      <c r="BL188" s="29"/>
      <c r="BM188" s="29"/>
      <c r="BN188" s="30"/>
      <c r="BO188" s="55"/>
      <c r="BP188" s="29"/>
      <c r="BQ188" s="29"/>
      <c r="BR188" s="30"/>
      <c r="BS188" s="55"/>
      <c r="BT188" s="29"/>
      <c r="BU188" s="29"/>
      <c r="BV188" s="30"/>
      <c r="BW188" s="55"/>
      <c r="BX188" s="29"/>
      <c r="BY188" s="29"/>
      <c r="BZ188" s="30"/>
      <c r="CA188" s="31"/>
    </row>
    <row r="189" spans="2:79" hidden="1">
      <c r="B189" s="297"/>
      <c r="C189" s="307" t="s">
        <v>640</v>
      </c>
      <c r="D189" s="299" t="str">
        <f t="shared" si="36"/>
        <v xml:space="preserve"> 265</v>
      </c>
      <c r="E189" s="308" t="s">
        <v>640</v>
      </c>
      <c r="F189" s="301">
        <f t="shared" si="37"/>
        <v>0</v>
      </c>
      <c r="G189" s="302" t="s">
        <v>35</v>
      </c>
      <c r="H189" s="302" t="s">
        <v>137</v>
      </c>
      <c r="I189" s="302" t="s">
        <v>1125</v>
      </c>
      <c r="J189" s="313">
        <f t="shared" si="49"/>
        <v>81500</v>
      </c>
      <c r="K189" s="312">
        <f t="shared" si="47"/>
        <v>0</v>
      </c>
      <c r="L189" s="314" t="s">
        <v>67</v>
      </c>
      <c r="M189" s="318">
        <v>81500</v>
      </c>
      <c r="N189" s="316">
        <v>6650</v>
      </c>
      <c r="O189" s="306">
        <f t="shared" si="48"/>
        <v>88150</v>
      </c>
      <c r="P189" s="295"/>
      <c r="Q189" s="292" t="s">
        <v>1184</v>
      </c>
      <c r="R189" s="22"/>
      <c r="S189" s="22">
        <f t="shared" si="34"/>
        <v>88150</v>
      </c>
      <c r="T189" s="22">
        <f t="shared" si="38"/>
        <v>125928.57142857143</v>
      </c>
      <c r="U189" s="23">
        <f t="shared" si="39"/>
        <v>143918.36734693879</v>
      </c>
      <c r="V189" s="24">
        <f t="shared" si="40"/>
        <v>0.12500000000000003</v>
      </c>
      <c r="W189" s="23">
        <f t="shared" si="41"/>
        <v>144000</v>
      </c>
      <c r="X189" s="164">
        <f t="shared" si="35"/>
        <v>0.30000000000000004</v>
      </c>
      <c r="Y189" s="188">
        <v>121429</v>
      </c>
      <c r="Z189" s="188">
        <f>T189-Y189</f>
        <v>4499.5714285714348</v>
      </c>
      <c r="AA189" s="189">
        <f>Z189/Y189</f>
        <v>3.7055163334717693E-2</v>
      </c>
      <c r="AB189" s="26" t="s">
        <v>222</v>
      </c>
      <c r="AC189" s="164">
        <f>AVERAGE(X189,X179,X175,X173)</f>
        <v>0.30000000000000004</v>
      </c>
      <c r="AD189" s="208">
        <f>AVERAGE(T189,T179,T175,T173)</f>
        <v>118553.57142857143</v>
      </c>
      <c r="AE189" s="28">
        <f>AVERAGE(AI189,AM189,AQ189,AU189,BC189,BK189,BO189,BS189,BW189)</f>
        <v>125977.5</v>
      </c>
      <c r="AF189" s="180">
        <v>116836.73469387756</v>
      </c>
      <c r="AG189" s="181">
        <v>115000</v>
      </c>
      <c r="AH189" s="21">
        <f>(AD189-AF189)/AF189</f>
        <v>1.4694323144104788E-2</v>
      </c>
      <c r="AI189" s="55"/>
      <c r="AJ189" s="180">
        <f>84411/0.7</f>
        <v>120587.14285714287</v>
      </c>
      <c r="AK189" s="180">
        <v>114819</v>
      </c>
      <c r="AL189" s="21">
        <f>(AI189-AJ189)/AJ189</f>
        <v>-1</v>
      </c>
      <c r="AM189" s="44">
        <v>115622</v>
      </c>
      <c r="AN189" s="180">
        <f>83606/0.7</f>
        <v>119437.14285714287</v>
      </c>
      <c r="AO189" s="180">
        <v>103063</v>
      </c>
      <c r="AP189" s="21">
        <f>(AM189-AN189)/AN189</f>
        <v>-3.1942683539458991E-2</v>
      </c>
      <c r="AQ189" s="55"/>
      <c r="AR189" s="180">
        <f>83475/0.7</f>
        <v>119250.00000000001</v>
      </c>
      <c r="AS189" s="180">
        <v>119250</v>
      </c>
      <c r="AT189" s="21">
        <f>(AQ189-AR189)/AR189</f>
        <v>-1</v>
      </c>
      <c r="AU189" s="57"/>
      <c r="AV189" s="180">
        <f>76860/0.7</f>
        <v>109800</v>
      </c>
      <c r="AW189" s="180">
        <v>109800</v>
      </c>
      <c r="AX189" s="21">
        <f>(AU189-AV189)/AV189</f>
        <v>-1</v>
      </c>
      <c r="AY189" s="57"/>
      <c r="AZ189" s="29"/>
      <c r="BA189" s="29"/>
      <c r="BB189" s="30"/>
      <c r="BC189" s="55"/>
      <c r="BD189" s="29"/>
      <c r="BE189" s="169">
        <v>105624</v>
      </c>
      <c r="BF189" s="29"/>
      <c r="BG189" s="55"/>
      <c r="BH189" s="29"/>
      <c r="BI189" s="29"/>
      <c r="BJ189" s="30"/>
      <c r="BK189" s="44">
        <v>136333</v>
      </c>
      <c r="BL189" s="180">
        <f>90650/0.7</f>
        <v>129500.00000000001</v>
      </c>
      <c r="BM189" s="180">
        <v>114667</v>
      </c>
      <c r="BN189" s="21">
        <f>(BK189-BL189)/BL189</f>
        <v>5.2764478764478644E-2</v>
      </c>
      <c r="BO189" s="57"/>
      <c r="BP189" s="29"/>
      <c r="BQ189" s="29"/>
      <c r="BR189" s="30"/>
      <c r="BS189" s="55"/>
      <c r="BT189" s="29"/>
      <c r="BU189" s="29"/>
      <c r="BV189" s="30"/>
      <c r="BW189" s="55"/>
      <c r="BX189" s="29"/>
      <c r="BY189" s="29"/>
      <c r="BZ189" s="30"/>
      <c r="CA189" s="31"/>
    </row>
    <row r="190" spans="2:79" hidden="1">
      <c r="B190" s="297"/>
      <c r="C190" s="307" t="s">
        <v>638</v>
      </c>
      <c r="D190" s="299" t="str">
        <f t="shared" si="36"/>
        <v xml:space="preserve"> 442</v>
      </c>
      <c r="E190" s="308" t="s">
        <v>638</v>
      </c>
      <c r="F190" s="301">
        <f t="shared" si="37"/>
        <v>0</v>
      </c>
      <c r="G190" s="302" t="s">
        <v>35</v>
      </c>
      <c r="H190" s="302" t="s">
        <v>137</v>
      </c>
      <c r="I190" s="302" t="s">
        <v>1125</v>
      </c>
      <c r="J190" s="313">
        <f t="shared" si="49"/>
        <v>87000</v>
      </c>
      <c r="K190" s="312">
        <f t="shared" si="47"/>
        <v>0</v>
      </c>
      <c r="L190" s="314" t="s">
        <v>67</v>
      </c>
      <c r="M190" s="318">
        <v>87000</v>
      </c>
      <c r="N190" s="316">
        <v>6650</v>
      </c>
      <c r="O190" s="306">
        <f t="shared" si="48"/>
        <v>93650</v>
      </c>
      <c r="P190" s="295"/>
      <c r="Q190" s="292" t="s">
        <v>1184</v>
      </c>
      <c r="R190" s="22"/>
      <c r="S190" s="22">
        <f t="shared" si="34"/>
        <v>93650</v>
      </c>
      <c r="T190" s="22">
        <f t="shared" si="38"/>
        <v>133785.71428571429</v>
      </c>
      <c r="U190" s="23">
        <f t="shared" si="39"/>
        <v>152897.95918367346</v>
      </c>
      <c r="V190" s="24">
        <f t="shared" si="40"/>
        <v>0.12499999999999993</v>
      </c>
      <c r="W190" s="23">
        <f t="shared" si="41"/>
        <v>152900</v>
      </c>
      <c r="X190" s="164">
        <f t="shared" si="35"/>
        <v>0.30000000000000004</v>
      </c>
      <c r="Y190" s="25"/>
      <c r="Z190" s="25"/>
      <c r="AA190" s="37"/>
      <c r="AB190" s="26"/>
      <c r="AC190" s="164"/>
      <c r="AD190" s="35"/>
      <c r="AE190" s="36"/>
      <c r="AF190" s="29"/>
      <c r="AG190" s="29"/>
      <c r="AH190" s="30"/>
      <c r="AI190" s="55"/>
      <c r="AJ190" s="29"/>
      <c r="AK190" s="29"/>
      <c r="AL190" s="30"/>
      <c r="AM190" s="172" t="s">
        <v>608</v>
      </c>
      <c r="AN190" s="29"/>
      <c r="AO190" s="29"/>
      <c r="AP190" s="30"/>
      <c r="AQ190" s="55"/>
      <c r="AR190" s="29"/>
      <c r="AS190" s="29"/>
      <c r="AT190" s="30"/>
      <c r="AU190" s="172" t="s">
        <v>608</v>
      </c>
      <c r="AV190" s="29"/>
      <c r="AW190" s="29"/>
      <c r="AX190" s="30"/>
      <c r="AY190" s="55"/>
      <c r="AZ190" s="29"/>
      <c r="BA190" s="29"/>
      <c r="BB190" s="30"/>
      <c r="BC190" s="172" t="s">
        <v>751</v>
      </c>
      <c r="BD190" s="29"/>
      <c r="BE190" s="29"/>
      <c r="BF190" s="30"/>
      <c r="BG190" s="55"/>
      <c r="BH190" s="29"/>
      <c r="BI190" s="29"/>
      <c r="BJ190" s="30"/>
      <c r="BK190" s="172" t="s">
        <v>751</v>
      </c>
      <c r="BL190" s="29"/>
      <c r="BM190" s="29"/>
      <c r="BN190" s="30"/>
      <c r="BO190" s="55"/>
      <c r="BP190" s="29"/>
      <c r="BQ190" s="29"/>
      <c r="BR190" s="30"/>
      <c r="BS190" s="55"/>
      <c r="BT190" s="29"/>
      <c r="BU190" s="29"/>
      <c r="BV190" s="30"/>
      <c r="BW190" s="55"/>
      <c r="BX190" s="29"/>
      <c r="BY190" s="29"/>
      <c r="BZ190" s="30"/>
      <c r="CA190" s="31"/>
    </row>
    <row r="191" spans="2:79" hidden="1">
      <c r="B191" s="297"/>
      <c r="C191" s="307" t="s">
        <v>637</v>
      </c>
      <c r="D191" s="299" t="str">
        <f t="shared" si="36"/>
        <v xml:space="preserve"> 373</v>
      </c>
      <c r="E191" s="308" t="s">
        <v>637</v>
      </c>
      <c r="F191" s="301">
        <f t="shared" si="37"/>
        <v>0</v>
      </c>
      <c r="G191" s="302" t="s">
        <v>35</v>
      </c>
      <c r="H191" s="302" t="s">
        <v>137</v>
      </c>
      <c r="I191" s="302" t="s">
        <v>1125</v>
      </c>
      <c r="J191" s="313">
        <f t="shared" si="49"/>
        <v>87000</v>
      </c>
      <c r="K191" s="312">
        <f t="shared" si="47"/>
        <v>0</v>
      </c>
      <c r="L191" s="314" t="s">
        <v>67</v>
      </c>
      <c r="M191" s="318">
        <v>87000</v>
      </c>
      <c r="N191" s="316">
        <v>7050</v>
      </c>
      <c r="O191" s="306">
        <f t="shared" si="48"/>
        <v>94050</v>
      </c>
      <c r="P191" s="295"/>
      <c r="Q191" s="292" t="s">
        <v>1204</v>
      </c>
      <c r="R191" s="22"/>
      <c r="S191" s="22">
        <f t="shared" si="34"/>
        <v>94050</v>
      </c>
      <c r="T191" s="22">
        <f t="shared" si="38"/>
        <v>134357.14285714287</v>
      </c>
      <c r="U191" s="23">
        <f t="shared" si="39"/>
        <v>153551.02040816328</v>
      </c>
      <c r="V191" s="24">
        <f t="shared" si="40"/>
        <v>0.12500000000000003</v>
      </c>
      <c r="W191" s="23">
        <f t="shared" si="41"/>
        <v>153600</v>
      </c>
      <c r="X191" s="164">
        <f t="shared" si="35"/>
        <v>0.30000000000000004</v>
      </c>
      <c r="Y191" s="25"/>
      <c r="Z191" s="25"/>
      <c r="AA191" s="25"/>
      <c r="AB191" s="34"/>
      <c r="AC191" s="164"/>
      <c r="AD191" s="35"/>
      <c r="AE191" s="36"/>
      <c r="AF191" s="29"/>
      <c r="AG191" s="29"/>
      <c r="AH191" s="30"/>
      <c r="AI191" s="55"/>
      <c r="AJ191" s="29"/>
      <c r="AK191" s="29"/>
      <c r="AL191" s="30"/>
      <c r="AM191" s="172" t="s">
        <v>608</v>
      </c>
      <c r="AN191" s="29"/>
      <c r="AO191" s="29"/>
      <c r="AP191" s="30"/>
      <c r="AQ191" s="55"/>
      <c r="AR191" s="29"/>
      <c r="AS191" s="29"/>
      <c r="AT191" s="30"/>
      <c r="AU191" s="172" t="s">
        <v>608</v>
      </c>
      <c r="AV191" s="29"/>
      <c r="AW191" s="29"/>
      <c r="AX191" s="30"/>
      <c r="AY191" s="55"/>
      <c r="AZ191" s="29"/>
      <c r="BA191" s="29"/>
      <c r="BB191" s="30"/>
      <c r="BC191" s="172" t="s">
        <v>751</v>
      </c>
      <c r="BD191" s="29"/>
      <c r="BE191" s="29"/>
      <c r="BF191" s="30"/>
      <c r="BG191" s="55"/>
      <c r="BH191" s="29"/>
      <c r="BI191" s="29"/>
      <c r="BJ191" s="30"/>
      <c r="BK191" s="172" t="s">
        <v>751</v>
      </c>
      <c r="BL191" s="29"/>
      <c r="BM191" s="29"/>
      <c r="BN191" s="30"/>
      <c r="BO191" s="55"/>
      <c r="BP191" s="29"/>
      <c r="BQ191" s="29"/>
      <c r="BR191" s="30"/>
      <c r="BS191" s="55"/>
      <c r="BT191" s="29"/>
      <c r="BU191" s="29"/>
      <c r="BV191" s="30"/>
      <c r="BW191" s="55"/>
      <c r="BX191" s="29"/>
      <c r="BY191" s="29"/>
      <c r="BZ191" s="30"/>
      <c r="CA191" s="31"/>
    </row>
    <row r="192" spans="2:79" hidden="1">
      <c r="B192" s="297"/>
      <c r="C192" s="307" t="s">
        <v>214</v>
      </c>
      <c r="D192" s="299" t="str">
        <f t="shared" si="36"/>
        <v xml:space="preserve"> 222</v>
      </c>
      <c r="E192" s="308" t="s">
        <v>214</v>
      </c>
      <c r="F192" s="301">
        <f t="shared" si="37"/>
        <v>0</v>
      </c>
      <c r="G192" s="302" t="s">
        <v>35</v>
      </c>
      <c r="H192" s="302" t="s">
        <v>1079</v>
      </c>
      <c r="I192" s="302" t="s">
        <v>1125</v>
      </c>
      <c r="J192" s="313">
        <f t="shared" si="49"/>
        <v>69000</v>
      </c>
      <c r="K192" s="312">
        <f t="shared" si="47"/>
        <v>0</v>
      </c>
      <c r="L192" s="314" t="s">
        <v>67</v>
      </c>
      <c r="M192" s="318">
        <v>69000</v>
      </c>
      <c r="N192" s="316">
        <v>3650</v>
      </c>
      <c r="O192" s="306">
        <f t="shared" si="48"/>
        <v>72650</v>
      </c>
      <c r="P192" s="294"/>
      <c r="Q192" s="292" t="s">
        <v>1205</v>
      </c>
      <c r="R192" s="22"/>
      <c r="S192" s="22">
        <f t="shared" si="34"/>
        <v>72650</v>
      </c>
      <c r="T192" s="22">
        <f t="shared" si="38"/>
        <v>103785.71428571429</v>
      </c>
      <c r="U192" s="23">
        <f t="shared" si="39"/>
        <v>118612.24489795919</v>
      </c>
      <c r="V192" s="24">
        <f t="shared" si="40"/>
        <v>0.12499999999999999</v>
      </c>
      <c r="W192" s="23">
        <f t="shared" si="41"/>
        <v>118700</v>
      </c>
      <c r="X192" s="164">
        <f t="shared" si="35"/>
        <v>0.30000000000000004</v>
      </c>
      <c r="Y192" s="25"/>
      <c r="Z192" s="25"/>
      <c r="AA192" s="37"/>
      <c r="AB192" s="34"/>
      <c r="AC192" s="164"/>
      <c r="AD192" s="35"/>
      <c r="AE192" s="36"/>
      <c r="AF192" s="29"/>
      <c r="AG192" s="29"/>
      <c r="AH192" s="30"/>
      <c r="AI192" s="55"/>
      <c r="AJ192" s="29"/>
      <c r="AK192" s="29"/>
      <c r="AL192" s="30"/>
      <c r="AM192" s="172" t="s">
        <v>608</v>
      </c>
      <c r="AN192" s="29"/>
      <c r="AO192" s="29"/>
      <c r="AP192" s="30"/>
      <c r="AQ192" s="55"/>
      <c r="AR192" s="29"/>
      <c r="AS192" s="29"/>
      <c r="AT192" s="30"/>
      <c r="AU192" s="172" t="s">
        <v>608</v>
      </c>
      <c r="AV192" s="29"/>
      <c r="AW192" s="29"/>
      <c r="AX192" s="30"/>
      <c r="AY192" s="55"/>
      <c r="AZ192" s="29"/>
      <c r="BA192" s="29"/>
      <c r="BB192" s="30"/>
      <c r="BC192" s="172" t="s">
        <v>751</v>
      </c>
      <c r="BD192" s="29"/>
      <c r="BE192" s="29"/>
      <c r="BF192" s="30"/>
      <c r="BG192" s="55"/>
      <c r="BH192" s="29"/>
      <c r="BI192" s="29"/>
      <c r="BJ192" s="30"/>
      <c r="BK192" s="172" t="s">
        <v>751</v>
      </c>
      <c r="BL192" s="29"/>
      <c r="BM192" s="29"/>
      <c r="BN192" s="30"/>
      <c r="BO192" s="55"/>
      <c r="BP192" s="29"/>
      <c r="BQ192" s="29"/>
      <c r="BR192" s="30"/>
      <c r="BS192" s="55"/>
      <c r="BT192" s="29"/>
      <c r="BU192" s="29"/>
      <c r="BV192" s="30"/>
      <c r="BW192" s="31"/>
    </row>
    <row r="193" spans="1:79" hidden="1">
      <c r="B193" s="297"/>
      <c r="C193" s="307" t="s">
        <v>1005</v>
      </c>
      <c r="D193" s="299" t="str">
        <f t="shared" si="36"/>
        <v xml:space="preserve"> 364</v>
      </c>
      <c r="E193" s="308" t="s">
        <v>1005</v>
      </c>
      <c r="F193" s="301">
        <f t="shared" si="37"/>
        <v>0</v>
      </c>
      <c r="G193" s="302" t="s">
        <v>1063</v>
      </c>
      <c r="H193" s="302" t="s">
        <v>1069</v>
      </c>
      <c r="I193" s="302" t="s">
        <v>1125</v>
      </c>
      <c r="J193" s="313">
        <f t="shared" si="49"/>
        <v>88500</v>
      </c>
      <c r="K193" s="312">
        <f t="shared" si="47"/>
        <v>0</v>
      </c>
      <c r="L193" s="314" t="s">
        <v>67</v>
      </c>
      <c r="M193" s="318">
        <v>88500</v>
      </c>
      <c r="N193" s="316">
        <v>6150</v>
      </c>
      <c r="O193" s="306">
        <f t="shared" si="48"/>
        <v>94650</v>
      </c>
      <c r="P193" s="294"/>
      <c r="Q193" s="292" t="s">
        <v>1201</v>
      </c>
      <c r="R193" s="22"/>
      <c r="S193" s="22">
        <f t="shared" si="34"/>
        <v>94650</v>
      </c>
      <c r="T193" s="22">
        <f t="shared" si="38"/>
        <v>135214.28571428571</v>
      </c>
      <c r="U193" s="23">
        <f t="shared" si="39"/>
        <v>154530.61224489796</v>
      </c>
      <c r="V193" s="24">
        <f t="shared" si="40"/>
        <v>0.12500000000000003</v>
      </c>
      <c r="W193" s="23">
        <f t="shared" si="41"/>
        <v>154600</v>
      </c>
      <c r="X193" s="164">
        <f t="shared" si="35"/>
        <v>0.3</v>
      </c>
      <c r="Y193" s="25"/>
      <c r="Z193" s="25"/>
      <c r="AA193" s="25"/>
      <c r="AB193" s="34"/>
      <c r="AC193" s="164"/>
      <c r="AD193" s="35"/>
      <c r="AE193" s="36"/>
      <c r="AF193" s="29"/>
      <c r="AG193" s="29"/>
      <c r="AH193" s="30"/>
      <c r="AI193" s="55"/>
      <c r="AJ193" s="29"/>
      <c r="AK193" s="29"/>
      <c r="AL193" s="30"/>
      <c r="AM193" s="172" t="s">
        <v>608</v>
      </c>
      <c r="AN193" s="29"/>
      <c r="AO193" s="29"/>
      <c r="AP193" s="30"/>
      <c r="AQ193" s="55"/>
      <c r="AR193" s="29"/>
      <c r="AS193" s="29"/>
      <c r="AT193" s="30"/>
      <c r="AU193" s="172" t="s">
        <v>608</v>
      </c>
      <c r="AV193" s="29"/>
      <c r="AW193" s="29"/>
      <c r="AX193" s="30"/>
      <c r="AY193" s="55"/>
      <c r="AZ193" s="29"/>
      <c r="BA193" s="29"/>
      <c r="BB193" s="30"/>
      <c r="BC193" s="172" t="s">
        <v>751</v>
      </c>
      <c r="BD193" s="29"/>
      <c r="BE193" s="29"/>
      <c r="BF193" s="30"/>
      <c r="BG193" s="55"/>
      <c r="BH193" s="29"/>
      <c r="BI193" s="29"/>
      <c r="BJ193" s="30"/>
      <c r="BK193" s="172" t="s">
        <v>751</v>
      </c>
      <c r="BL193" s="29"/>
      <c r="BM193" s="29"/>
      <c r="BN193" s="30"/>
      <c r="BO193" s="55"/>
      <c r="BP193" s="29"/>
      <c r="BQ193" s="29"/>
      <c r="BR193" s="30"/>
      <c r="BS193" s="55"/>
      <c r="BT193" s="29"/>
      <c r="BU193" s="29"/>
      <c r="BV193" s="30"/>
      <c r="BW193" s="55"/>
      <c r="BX193" s="29"/>
      <c r="BY193" s="29"/>
      <c r="BZ193" s="30"/>
      <c r="CA193" s="31"/>
    </row>
    <row r="194" spans="1:79" hidden="1">
      <c r="B194" s="297"/>
      <c r="C194" s="307" t="s">
        <v>1006</v>
      </c>
      <c r="D194" s="299" t="str">
        <f t="shared" si="36"/>
        <v xml:space="preserve"> 359</v>
      </c>
      <c r="E194" s="308" t="s">
        <v>1006</v>
      </c>
      <c r="F194" s="301">
        <f t="shared" si="37"/>
        <v>0</v>
      </c>
      <c r="G194" s="302" t="s">
        <v>1063</v>
      </c>
      <c r="H194" s="302" t="s">
        <v>250</v>
      </c>
      <c r="I194" s="302" t="s">
        <v>1125</v>
      </c>
      <c r="J194" s="313">
        <f t="shared" si="49"/>
        <v>87000</v>
      </c>
      <c r="K194" s="312">
        <f t="shared" si="47"/>
        <v>0</v>
      </c>
      <c r="L194" s="314" t="s">
        <v>67</v>
      </c>
      <c r="M194" s="318">
        <v>87000</v>
      </c>
      <c r="N194" s="316">
        <v>3950</v>
      </c>
      <c r="O194" s="306">
        <f t="shared" si="48"/>
        <v>90950</v>
      </c>
      <c r="P194" s="295"/>
      <c r="Q194" s="292" t="s">
        <v>1193</v>
      </c>
      <c r="R194" s="22"/>
      <c r="S194" s="22">
        <f t="shared" si="34"/>
        <v>90950</v>
      </c>
      <c r="T194" s="22">
        <f t="shared" si="38"/>
        <v>129928.57142857143</v>
      </c>
      <c r="U194" s="23">
        <f t="shared" si="39"/>
        <v>148489.79591836737</v>
      </c>
      <c r="V194" s="24">
        <f t="shared" si="40"/>
        <v>0.12500000000000008</v>
      </c>
      <c r="W194" s="23">
        <f t="shared" si="41"/>
        <v>148500</v>
      </c>
      <c r="X194" s="164">
        <f t="shared" si="35"/>
        <v>0.30000000000000004</v>
      </c>
      <c r="Y194" s="25"/>
      <c r="Z194" s="25"/>
      <c r="AA194" s="25"/>
      <c r="AB194" s="34"/>
      <c r="AC194" s="164"/>
      <c r="AD194" s="35"/>
      <c r="AE194" s="36"/>
      <c r="AF194" s="29"/>
      <c r="AG194" s="29"/>
      <c r="AH194" s="30"/>
      <c r="AI194" s="55"/>
      <c r="AJ194" s="29"/>
      <c r="AK194" s="29"/>
      <c r="AL194" s="30"/>
      <c r="AM194" s="172" t="s">
        <v>608</v>
      </c>
      <c r="AN194" s="29"/>
      <c r="AO194" s="29"/>
      <c r="AP194" s="30"/>
      <c r="AQ194" s="55"/>
      <c r="AR194" s="29"/>
      <c r="AS194" s="29"/>
      <c r="AT194" s="30"/>
      <c r="AU194" s="172" t="s">
        <v>608</v>
      </c>
      <c r="AV194" s="29"/>
      <c r="AW194" s="29"/>
      <c r="AX194" s="30"/>
      <c r="AY194" s="55"/>
      <c r="AZ194" s="29"/>
      <c r="BA194" s="29"/>
      <c r="BB194" s="30"/>
      <c r="BC194" s="172" t="s">
        <v>751</v>
      </c>
      <c r="BD194" s="29"/>
      <c r="BE194" s="29"/>
      <c r="BF194" s="30"/>
      <c r="BG194" s="55"/>
      <c r="BH194" s="29"/>
      <c r="BI194" s="29"/>
      <c r="BJ194" s="30"/>
      <c r="BK194" s="172" t="s">
        <v>751</v>
      </c>
      <c r="BL194" s="29"/>
      <c r="BM194" s="29"/>
      <c r="BN194" s="30"/>
      <c r="BO194" s="55"/>
      <c r="BP194" s="29"/>
      <c r="BQ194" s="29"/>
      <c r="BR194" s="30"/>
      <c r="BS194" s="55"/>
      <c r="BT194" s="29"/>
      <c r="BU194" s="29"/>
      <c r="BV194" s="30"/>
      <c r="BW194" s="55"/>
      <c r="BX194" s="29"/>
      <c r="BY194" s="29"/>
      <c r="BZ194" s="30"/>
      <c r="CA194" s="31"/>
    </row>
    <row r="195" spans="1:79" hidden="1">
      <c r="B195" s="297"/>
      <c r="C195" s="307" t="s">
        <v>1007</v>
      </c>
      <c r="D195" s="299" t="str">
        <f t="shared" si="36"/>
        <v xml:space="preserve"> 102</v>
      </c>
      <c r="E195" s="308" t="s">
        <v>1007</v>
      </c>
      <c r="F195" s="301">
        <f t="shared" si="37"/>
        <v>0</v>
      </c>
      <c r="G195" s="302" t="s">
        <v>1063</v>
      </c>
      <c r="H195" s="302" t="s">
        <v>1070</v>
      </c>
      <c r="I195" s="302" t="s">
        <v>1125</v>
      </c>
      <c r="J195" s="313">
        <f t="shared" si="49"/>
        <v>81000</v>
      </c>
      <c r="K195" s="312">
        <f t="shared" si="47"/>
        <v>0</v>
      </c>
      <c r="L195" s="314" t="s">
        <v>67</v>
      </c>
      <c r="M195" s="318">
        <v>81000</v>
      </c>
      <c r="N195" s="316">
        <v>4200</v>
      </c>
      <c r="O195" s="306">
        <f t="shared" si="48"/>
        <v>85200</v>
      </c>
      <c r="P195" s="294"/>
      <c r="Q195" s="292" t="s">
        <v>1185</v>
      </c>
      <c r="R195" s="22"/>
      <c r="S195" s="22">
        <f t="shared" si="34"/>
        <v>85200</v>
      </c>
      <c r="T195" s="22">
        <f t="shared" si="38"/>
        <v>121714.28571428572</v>
      </c>
      <c r="U195" s="23">
        <f t="shared" si="39"/>
        <v>139102.04081632654</v>
      </c>
      <c r="V195" s="24">
        <f t="shared" si="40"/>
        <v>0.12499999999999997</v>
      </c>
      <c r="W195" s="23">
        <f t="shared" si="41"/>
        <v>139200</v>
      </c>
      <c r="X195" s="164">
        <f t="shared" si="35"/>
        <v>0.30000000000000004</v>
      </c>
      <c r="Y195" s="25"/>
      <c r="Z195" s="25"/>
      <c r="AA195" s="25"/>
      <c r="AB195" s="34"/>
      <c r="AC195" s="164"/>
      <c r="AD195" s="35"/>
      <c r="AE195" s="36"/>
      <c r="AF195" s="29"/>
      <c r="AG195" s="29"/>
      <c r="AH195" s="30"/>
      <c r="AI195" s="55"/>
      <c r="AJ195" s="29"/>
      <c r="AK195" s="29"/>
      <c r="AL195" s="30"/>
      <c r="AM195" s="172" t="s">
        <v>608</v>
      </c>
      <c r="AN195" s="29"/>
      <c r="AO195" s="29"/>
      <c r="AP195" s="30"/>
      <c r="AQ195" s="55"/>
      <c r="AR195" s="29"/>
      <c r="AS195" s="29"/>
      <c r="AT195" s="30"/>
      <c r="AU195" s="172" t="s">
        <v>608</v>
      </c>
      <c r="AV195" s="29"/>
      <c r="AW195" s="29"/>
      <c r="AX195" s="30"/>
      <c r="AY195" s="55"/>
      <c r="AZ195" s="29"/>
      <c r="BA195" s="29"/>
      <c r="BB195" s="30"/>
      <c r="BC195" s="172" t="s">
        <v>751</v>
      </c>
      <c r="BD195" s="29"/>
      <c r="BE195" s="29"/>
      <c r="BF195" s="30"/>
      <c r="BG195" s="55"/>
      <c r="BH195" s="29"/>
      <c r="BI195" s="29"/>
      <c r="BJ195" s="30"/>
      <c r="BK195" s="172" t="s">
        <v>751</v>
      </c>
      <c r="BL195" s="29"/>
      <c r="BM195" s="29"/>
      <c r="BN195" s="30"/>
      <c r="BO195" s="55"/>
      <c r="BP195" s="29"/>
      <c r="BQ195" s="29"/>
      <c r="BR195" s="30"/>
      <c r="BS195" s="55"/>
      <c r="BT195" s="29"/>
      <c r="BU195" s="29"/>
      <c r="BV195" s="30"/>
      <c r="BW195" s="55"/>
      <c r="BX195" s="29"/>
      <c r="BY195" s="29"/>
      <c r="BZ195" s="30"/>
      <c r="CA195" s="31"/>
    </row>
    <row r="196" spans="1:79" hidden="1">
      <c r="B196" s="297"/>
      <c r="C196" s="307" t="s">
        <v>1008</v>
      </c>
      <c r="D196" s="299" t="str">
        <f t="shared" si="36"/>
        <v xml:space="preserve"> 726</v>
      </c>
      <c r="E196" s="308" t="s">
        <v>1008</v>
      </c>
      <c r="F196" s="301">
        <f t="shared" si="37"/>
        <v>0</v>
      </c>
      <c r="G196" s="302" t="s">
        <v>1063</v>
      </c>
      <c r="H196" s="302" t="s">
        <v>229</v>
      </c>
      <c r="I196" s="302" t="s">
        <v>1125</v>
      </c>
      <c r="J196" s="313">
        <f t="shared" si="49"/>
        <v>69000</v>
      </c>
      <c r="K196" s="312">
        <f t="shared" si="47"/>
        <v>0</v>
      </c>
      <c r="L196" s="314" t="s">
        <v>67</v>
      </c>
      <c r="M196" s="318">
        <v>69000</v>
      </c>
      <c r="N196" s="316">
        <v>4200</v>
      </c>
      <c r="O196" s="306">
        <f t="shared" si="48"/>
        <v>73200</v>
      </c>
      <c r="P196" s="294"/>
      <c r="Q196" s="292" t="s">
        <v>1206</v>
      </c>
      <c r="R196" s="22"/>
      <c r="S196" s="22">
        <f t="shared" si="34"/>
        <v>73200</v>
      </c>
      <c r="T196" s="22">
        <f t="shared" si="38"/>
        <v>104571.42857142858</v>
      </c>
      <c r="U196" s="23">
        <f t="shared" si="39"/>
        <v>119510.20408163266</v>
      </c>
      <c r="V196" s="24">
        <f t="shared" si="40"/>
        <v>0.125</v>
      </c>
      <c r="W196" s="23">
        <f t="shared" si="41"/>
        <v>119600</v>
      </c>
      <c r="X196" s="164">
        <f t="shared" si="35"/>
        <v>0.30000000000000004</v>
      </c>
      <c r="Y196" s="188">
        <v>106429</v>
      </c>
      <c r="Z196" s="188">
        <f>T196-Y196</f>
        <v>-1857.5714285714203</v>
      </c>
      <c r="AA196" s="189">
        <f>Z196/Y196</f>
        <v>-1.7453620992130155E-2</v>
      </c>
      <c r="AB196" s="34"/>
      <c r="AC196" s="164"/>
      <c r="AD196" s="35"/>
      <c r="AE196" s="36"/>
      <c r="AF196" s="29"/>
      <c r="AG196" s="29"/>
      <c r="AH196" s="30"/>
      <c r="AI196" s="55"/>
      <c r="AJ196" s="29"/>
      <c r="AK196" s="29"/>
      <c r="AL196" s="30"/>
      <c r="AM196" s="172" t="s">
        <v>608</v>
      </c>
      <c r="AN196" s="29"/>
      <c r="AO196" s="29"/>
      <c r="AP196" s="30"/>
      <c r="AQ196" s="55"/>
      <c r="AR196" s="29"/>
      <c r="AS196" s="29"/>
      <c r="AT196" s="30"/>
      <c r="AU196" s="172" t="s">
        <v>608</v>
      </c>
      <c r="AV196" s="29"/>
      <c r="AW196" s="29"/>
      <c r="AX196" s="30"/>
      <c r="AY196" s="55"/>
      <c r="AZ196" s="29"/>
      <c r="BA196" s="29"/>
      <c r="BB196" s="30"/>
      <c r="BC196" s="172" t="s">
        <v>751</v>
      </c>
      <c r="BD196" s="29"/>
      <c r="BE196" s="29"/>
      <c r="BF196" s="30"/>
      <c r="BG196" s="55"/>
      <c r="BH196" s="29"/>
      <c r="BI196" s="29"/>
      <c r="BJ196" s="30"/>
      <c r="BK196" s="172" t="s">
        <v>751</v>
      </c>
      <c r="BL196" s="29"/>
      <c r="BM196" s="29"/>
      <c r="BN196" s="30"/>
      <c r="BO196" s="55"/>
      <c r="BP196" s="29"/>
      <c r="BQ196" s="29"/>
      <c r="BR196" s="30"/>
      <c r="BS196" s="55"/>
      <c r="BT196" s="29"/>
      <c r="BU196" s="29"/>
      <c r="BV196" s="30"/>
      <c r="BW196" s="55"/>
      <c r="BX196" s="29"/>
      <c r="BY196" s="29"/>
      <c r="BZ196" s="30"/>
      <c r="CA196" s="31"/>
    </row>
    <row r="197" spans="1:79" hidden="1">
      <c r="B197" s="297"/>
      <c r="C197" s="307" t="s">
        <v>1009</v>
      </c>
      <c r="D197" s="299" t="str">
        <f t="shared" si="36"/>
        <v xml:space="preserve"> 168</v>
      </c>
      <c r="E197" s="308" t="s">
        <v>1009</v>
      </c>
      <c r="F197" s="301">
        <f t="shared" si="37"/>
        <v>0</v>
      </c>
      <c r="G197" s="302" t="s">
        <v>1063</v>
      </c>
      <c r="H197" s="302" t="s">
        <v>1070</v>
      </c>
      <c r="I197" s="302" t="s">
        <v>1125</v>
      </c>
      <c r="J197" s="313">
        <f t="shared" si="49"/>
        <v>81000</v>
      </c>
      <c r="K197" s="312">
        <f t="shared" si="47"/>
        <v>0</v>
      </c>
      <c r="L197" s="314" t="s">
        <v>67</v>
      </c>
      <c r="M197" s="318">
        <v>81000</v>
      </c>
      <c r="N197" s="316">
        <v>4200</v>
      </c>
      <c r="O197" s="306">
        <f t="shared" si="48"/>
        <v>85200</v>
      </c>
      <c r="P197" s="294"/>
      <c r="Q197" s="292" t="s">
        <v>1206</v>
      </c>
      <c r="R197" s="22"/>
      <c r="S197" s="22">
        <f t="shared" si="34"/>
        <v>85200</v>
      </c>
      <c r="T197" s="22">
        <f t="shared" si="38"/>
        <v>121714.28571428572</v>
      </c>
      <c r="U197" s="23">
        <f t="shared" si="39"/>
        <v>139102.04081632654</v>
      </c>
      <c r="V197" s="24">
        <f t="shared" si="40"/>
        <v>0.12499999999999997</v>
      </c>
      <c r="W197" s="23">
        <f t="shared" si="41"/>
        <v>139200</v>
      </c>
      <c r="X197" s="164">
        <f t="shared" si="35"/>
        <v>0.30000000000000004</v>
      </c>
      <c r="Y197" s="25"/>
      <c r="Z197" s="25"/>
      <c r="AA197" s="25"/>
      <c r="AB197" s="34" t="s">
        <v>228</v>
      </c>
      <c r="AC197" s="164">
        <f>AVERAGE(X197,X196,X195,X194,X193,X192,X191,X190,X188,X187,X186,X185,X184,X183,X182,X181,X180,X178,X177)</f>
        <v>0.29999999999999993</v>
      </c>
      <c r="AD197" s="208">
        <f>AVERAGE(T197,T196,T195,T194,T193,T192,T191,T190,T188,T187,T186,T185,T184,T183,T182,T181,T180,T178,T177,T176,T174,T172,T171)</f>
        <v>122732.91925465842</v>
      </c>
      <c r="AE197" s="28">
        <f>AVERAGE(AI197,AM197,AQ197,AU197,BC197,BK197,BO197,BS197,BW197)</f>
        <v>109899.75</v>
      </c>
      <c r="AF197" s="40">
        <v>104000</v>
      </c>
      <c r="AG197" s="40"/>
      <c r="AH197" s="21">
        <f>(AD197-AF197)/AF197</f>
        <v>0.18012422360248484</v>
      </c>
      <c r="AI197" s="55"/>
      <c r="AJ197" s="41">
        <f>65668/0.7</f>
        <v>93811.42857142858</v>
      </c>
      <c r="AK197" s="40">
        <v>84466</v>
      </c>
      <c r="AL197" s="21">
        <f>(AI197-AJ197)/AJ197</f>
        <v>-1</v>
      </c>
      <c r="AM197" s="59">
        <v>101740</v>
      </c>
      <c r="AN197" s="41">
        <f>66966/0.7</f>
        <v>95665.71428571429</v>
      </c>
      <c r="AO197" s="40">
        <v>90270</v>
      </c>
      <c r="AP197" s="21">
        <f>(AM197-AN197)/AN197</f>
        <v>6.3494907863691982E-2</v>
      </c>
      <c r="AQ197" s="55"/>
      <c r="AR197" s="38">
        <f>76545/0.7</f>
        <v>109350</v>
      </c>
      <c r="AS197" s="40">
        <v>109350</v>
      </c>
      <c r="AT197" s="21">
        <f>(AQ197-AR197)/AR197</f>
        <v>-1</v>
      </c>
      <c r="AU197" s="44">
        <f>80010/0.7</f>
        <v>114300</v>
      </c>
      <c r="AV197" s="38">
        <f>76020/0.7</f>
        <v>108600</v>
      </c>
      <c r="AW197" s="40">
        <v>108600</v>
      </c>
      <c r="AX197" s="21">
        <f>(AU197-AV197)/AV197</f>
        <v>5.2486187845303865E-2</v>
      </c>
      <c r="AY197" s="57"/>
      <c r="AZ197" s="29"/>
      <c r="BA197" s="29"/>
      <c r="BB197" s="30"/>
      <c r="BC197" s="44">
        <v>106326</v>
      </c>
      <c r="BD197" s="38">
        <v>108533</v>
      </c>
      <c r="BE197" s="40">
        <v>102529</v>
      </c>
      <c r="BF197" s="21">
        <f>(BC197-BD197)/BD197</f>
        <v>-2.0334829038172721E-2</v>
      </c>
      <c r="BG197" s="55"/>
      <c r="BH197" s="29"/>
      <c r="BI197" s="29"/>
      <c r="BJ197" s="30"/>
      <c r="BK197" s="44">
        <v>117233</v>
      </c>
      <c r="BL197" s="38">
        <f>76125/0.7</f>
        <v>108750</v>
      </c>
      <c r="BM197" s="40">
        <v>102111</v>
      </c>
      <c r="BN197" s="21">
        <f>(BK197-BL197)/BL197</f>
        <v>7.8004597701149425E-2</v>
      </c>
      <c r="BO197" s="57"/>
      <c r="BP197" s="38">
        <f>78622/0.7</f>
        <v>112317.14285714287</v>
      </c>
      <c r="BQ197" s="29"/>
      <c r="BR197" s="30"/>
      <c r="BS197" s="55"/>
      <c r="BT197" s="29"/>
      <c r="BU197" s="29"/>
      <c r="BV197" s="30"/>
      <c r="BW197" s="55"/>
      <c r="BX197" s="29"/>
      <c r="BY197" s="29"/>
      <c r="BZ197" s="30"/>
      <c r="CA197" s="31"/>
    </row>
    <row r="198" spans="1:79" hidden="1">
      <c r="B198" s="297"/>
      <c r="C198" s="307" t="s">
        <v>1010</v>
      </c>
      <c r="D198" s="299" t="str">
        <f t="shared" si="36"/>
        <v xml:space="preserve"> 757</v>
      </c>
      <c r="E198" s="308" t="s">
        <v>1010</v>
      </c>
      <c r="F198" s="301">
        <f t="shared" si="37"/>
        <v>0</v>
      </c>
      <c r="G198" s="302" t="s">
        <v>1063</v>
      </c>
      <c r="H198" s="302" t="s">
        <v>1088</v>
      </c>
      <c r="I198" s="302" t="s">
        <v>1125</v>
      </c>
      <c r="J198" s="313">
        <f t="shared" si="49"/>
        <v>59000</v>
      </c>
      <c r="K198" s="312">
        <f t="shared" si="47"/>
        <v>0</v>
      </c>
      <c r="L198" s="314" t="s">
        <v>67</v>
      </c>
      <c r="M198" s="318">
        <v>59000</v>
      </c>
      <c r="N198" s="316">
        <v>4200</v>
      </c>
      <c r="O198" s="306">
        <f t="shared" si="48"/>
        <v>63200</v>
      </c>
      <c r="P198" s="294"/>
      <c r="Q198" s="292" t="s">
        <v>1207</v>
      </c>
      <c r="R198" s="22"/>
      <c r="S198" s="22">
        <f t="shared" si="34"/>
        <v>63200</v>
      </c>
      <c r="T198" s="22">
        <f t="shared" si="38"/>
        <v>90285.71428571429</v>
      </c>
      <c r="U198" s="23">
        <f t="shared" si="39"/>
        <v>103183.67346938777</v>
      </c>
      <c r="V198" s="24">
        <f t="shared" si="40"/>
        <v>0.12500000000000006</v>
      </c>
      <c r="W198" s="23">
        <f t="shared" si="41"/>
        <v>103200</v>
      </c>
      <c r="X198" s="164">
        <f t="shared" si="35"/>
        <v>0.30000000000000004</v>
      </c>
      <c r="Y198" s="188">
        <v>105214</v>
      </c>
      <c r="Z198" s="188">
        <f>T198-Y198</f>
        <v>-14928.28571428571</v>
      </c>
      <c r="AA198" s="189">
        <f>Z198/Y198</f>
        <v>-0.14188497456883789</v>
      </c>
      <c r="AB198" s="26"/>
      <c r="AC198" s="164"/>
      <c r="AD198" s="35"/>
      <c r="AE198" s="36"/>
      <c r="AF198" s="29"/>
      <c r="AG198" s="29"/>
      <c r="AH198" s="30"/>
      <c r="AI198" s="172" t="s">
        <v>608</v>
      </c>
      <c r="AJ198" s="29"/>
      <c r="AK198" s="29"/>
      <c r="AL198" s="30"/>
      <c r="AM198" s="172" t="s">
        <v>608</v>
      </c>
      <c r="AN198" s="29"/>
      <c r="AO198" s="29"/>
      <c r="AP198" s="30"/>
      <c r="AQ198" s="172" t="s">
        <v>608</v>
      </c>
      <c r="AR198" s="29"/>
      <c r="AS198" s="29"/>
      <c r="AT198" s="30"/>
      <c r="AU198" s="172" t="s">
        <v>608</v>
      </c>
      <c r="AV198" s="29"/>
      <c r="AW198" s="29"/>
      <c r="AX198" s="30"/>
      <c r="AY198" s="55"/>
      <c r="AZ198" s="29"/>
      <c r="BA198" s="29"/>
      <c r="BB198" s="30"/>
      <c r="BC198" s="172" t="s">
        <v>751</v>
      </c>
      <c r="BD198" s="29"/>
      <c r="BE198" s="29"/>
      <c r="BF198" s="30"/>
      <c r="BG198" s="55"/>
      <c r="BH198" s="29"/>
      <c r="BI198" s="29"/>
      <c r="BJ198" s="30"/>
      <c r="BK198" s="172" t="s">
        <v>751</v>
      </c>
      <c r="BL198" s="29"/>
      <c r="BM198" s="29"/>
      <c r="BN198" s="30"/>
      <c r="BO198" s="55"/>
      <c r="BP198" s="29"/>
      <c r="BQ198" s="29"/>
      <c r="BR198" s="30"/>
      <c r="BS198" s="55"/>
      <c r="BT198" s="29"/>
      <c r="BU198" s="29"/>
      <c r="BV198" s="30"/>
      <c r="BW198" s="55"/>
      <c r="BX198" s="29"/>
      <c r="BY198" s="29"/>
      <c r="BZ198" s="30"/>
      <c r="CA198" s="31"/>
    </row>
    <row r="199" spans="1:79" hidden="1">
      <c r="B199" s="297"/>
      <c r="C199" s="307" t="s">
        <v>1011</v>
      </c>
      <c r="D199" s="299" t="str">
        <f t="shared" si="36"/>
        <v xml:space="preserve"> 447</v>
      </c>
      <c r="E199" s="308" t="s">
        <v>1011</v>
      </c>
      <c r="F199" s="301">
        <f t="shared" si="37"/>
        <v>0</v>
      </c>
      <c r="G199" s="302" t="s">
        <v>1063</v>
      </c>
      <c r="H199" s="302" t="s">
        <v>1088</v>
      </c>
      <c r="I199" s="302" t="s">
        <v>1125</v>
      </c>
      <c r="J199" s="313">
        <f t="shared" si="49"/>
        <v>59000</v>
      </c>
      <c r="K199" s="312">
        <f t="shared" si="47"/>
        <v>0</v>
      </c>
      <c r="L199" s="314" t="s">
        <v>67</v>
      </c>
      <c r="M199" s="318">
        <v>59000</v>
      </c>
      <c r="N199" s="316">
        <v>4200</v>
      </c>
      <c r="O199" s="306">
        <f t="shared" si="48"/>
        <v>63200</v>
      </c>
      <c r="P199" s="294"/>
      <c r="Q199" s="292" t="s">
        <v>1208</v>
      </c>
      <c r="R199" s="22"/>
      <c r="S199" s="22">
        <f t="shared" ref="S199:S262" si="50">R199+O199</f>
        <v>63200</v>
      </c>
      <c r="T199" s="22">
        <f t="shared" ref="T199:T262" si="51">S199/0.7</f>
        <v>90285.71428571429</v>
      </c>
      <c r="U199" s="23">
        <f t="shared" ref="U199:U262" si="52">T199/0.875</f>
        <v>103183.67346938777</v>
      </c>
      <c r="V199" s="24">
        <f t="shared" ref="V199:V262" si="53">(U199-T199)/U199</f>
        <v>0.12500000000000006</v>
      </c>
      <c r="W199" s="23">
        <f t="shared" si="41"/>
        <v>103200</v>
      </c>
      <c r="X199" s="164">
        <f t="shared" ref="X199:X262" si="54">(T199-O199)/T199</f>
        <v>0.30000000000000004</v>
      </c>
      <c r="Y199" s="25"/>
      <c r="Z199" s="25"/>
      <c r="AA199" s="25"/>
      <c r="AB199" s="34"/>
      <c r="AC199" s="164"/>
      <c r="AD199" s="35"/>
      <c r="AE199" s="36"/>
      <c r="AF199" s="29"/>
      <c r="AG199" s="29"/>
      <c r="AH199" s="30"/>
      <c r="AI199" s="172" t="s">
        <v>608</v>
      </c>
      <c r="AJ199" s="29"/>
      <c r="AK199" s="29"/>
      <c r="AL199" s="30"/>
      <c r="AM199" s="172" t="s">
        <v>608</v>
      </c>
      <c r="AN199" s="29"/>
      <c r="AO199" s="29"/>
      <c r="AP199" s="30"/>
      <c r="AQ199" s="172" t="s">
        <v>608</v>
      </c>
      <c r="AR199" s="29"/>
      <c r="AS199" s="29"/>
      <c r="AT199" s="30"/>
      <c r="AU199" s="172" t="s">
        <v>608</v>
      </c>
      <c r="AV199" s="29"/>
      <c r="AW199" s="29"/>
      <c r="AX199" s="30"/>
      <c r="AY199" s="55"/>
      <c r="AZ199" s="29"/>
      <c r="BA199" s="29"/>
      <c r="BB199" s="30"/>
      <c r="BC199" s="172" t="s">
        <v>751</v>
      </c>
      <c r="BD199" s="29"/>
      <c r="BE199" s="29"/>
      <c r="BF199" s="30"/>
      <c r="BG199" s="55"/>
      <c r="BH199" s="29"/>
      <c r="BI199" s="29"/>
      <c r="BJ199" s="30"/>
      <c r="BK199" s="172" t="s">
        <v>751</v>
      </c>
      <c r="BL199" s="29"/>
      <c r="BM199" s="29"/>
      <c r="BN199" s="30"/>
      <c r="BO199" s="55"/>
      <c r="BP199" s="29"/>
      <c r="BQ199" s="29"/>
      <c r="BR199" s="30"/>
      <c r="BS199" s="55"/>
      <c r="BT199" s="29"/>
      <c r="BU199" s="29"/>
      <c r="BV199" s="30"/>
      <c r="BW199" s="55"/>
      <c r="BX199" s="29"/>
      <c r="BY199" s="29"/>
      <c r="BZ199" s="30"/>
      <c r="CA199" s="31"/>
    </row>
    <row r="200" spans="1:79" hidden="1">
      <c r="B200" s="297"/>
      <c r="C200" s="307" t="s">
        <v>1012</v>
      </c>
      <c r="D200" s="299" t="str">
        <f t="shared" ref="D200:D263" si="55">REPLACE(C200,1,3, )</f>
        <v xml:space="preserve"> 346</v>
      </c>
      <c r="E200" s="308" t="s">
        <v>1012</v>
      </c>
      <c r="F200" s="301">
        <f t="shared" ref="F200:F263" si="56">IF(C200=E200,0,1)</f>
        <v>0</v>
      </c>
      <c r="G200" s="302" t="s">
        <v>1063</v>
      </c>
      <c r="H200" s="302" t="s">
        <v>1067</v>
      </c>
      <c r="I200" s="302" t="s">
        <v>1125</v>
      </c>
      <c r="J200" s="313">
        <f t="shared" si="49"/>
        <v>79000</v>
      </c>
      <c r="K200" s="312">
        <f t="shared" si="47"/>
        <v>0</v>
      </c>
      <c r="L200" s="314" t="s">
        <v>67</v>
      </c>
      <c r="M200" s="318">
        <v>79000</v>
      </c>
      <c r="N200" s="316">
        <v>4200</v>
      </c>
      <c r="O200" s="306">
        <f t="shared" si="48"/>
        <v>83200</v>
      </c>
      <c r="P200" s="294"/>
      <c r="Q200" s="292" t="s">
        <v>1209</v>
      </c>
      <c r="R200" s="22"/>
      <c r="S200" s="22">
        <f t="shared" si="50"/>
        <v>83200</v>
      </c>
      <c r="T200" s="22">
        <f t="shared" si="51"/>
        <v>118857.14285714287</v>
      </c>
      <c r="U200" s="23">
        <f t="shared" si="52"/>
        <v>135836.73469387757</v>
      </c>
      <c r="V200" s="24">
        <f t="shared" si="53"/>
        <v>0.12500000000000006</v>
      </c>
      <c r="W200" s="23">
        <f t="shared" ref="W200:W263" si="57">(ROUNDUP((U200/100),0))*100</f>
        <v>135900</v>
      </c>
      <c r="X200" s="164">
        <f t="shared" si="54"/>
        <v>0.3000000000000001</v>
      </c>
      <c r="Y200" s="25"/>
      <c r="Z200" s="25"/>
      <c r="AA200" s="37"/>
      <c r="AB200" s="26"/>
      <c r="AC200" s="164"/>
      <c r="AD200" s="35"/>
      <c r="AE200" s="36"/>
      <c r="AF200" s="29"/>
      <c r="AG200" s="29"/>
      <c r="AH200" s="30"/>
      <c r="AI200" s="172" t="s">
        <v>608</v>
      </c>
      <c r="AJ200" s="29"/>
      <c r="AK200" s="29"/>
      <c r="AL200" s="30"/>
      <c r="AM200" s="172" t="s">
        <v>608</v>
      </c>
      <c r="AN200" s="29"/>
      <c r="AO200" s="29"/>
      <c r="AP200" s="30"/>
      <c r="AQ200" s="172" t="s">
        <v>608</v>
      </c>
      <c r="AR200" s="29"/>
      <c r="AS200" s="29"/>
      <c r="AT200" s="30"/>
      <c r="AU200" s="172" t="s">
        <v>608</v>
      </c>
      <c r="AV200" s="29"/>
      <c r="AW200" s="29"/>
      <c r="AX200" s="30"/>
      <c r="AY200" s="55"/>
      <c r="AZ200" s="29"/>
      <c r="BA200" s="29"/>
      <c r="BB200" s="30"/>
      <c r="BC200" s="172" t="s">
        <v>751</v>
      </c>
      <c r="BD200" s="29"/>
      <c r="BE200" s="29"/>
      <c r="BF200" s="30"/>
      <c r="BG200" s="55"/>
      <c r="BH200" s="29"/>
      <c r="BI200" s="29"/>
      <c r="BJ200" s="30"/>
      <c r="BK200" s="172" t="s">
        <v>751</v>
      </c>
      <c r="BL200" s="29"/>
      <c r="BM200" s="29"/>
      <c r="BN200" s="30"/>
      <c r="BO200" s="55"/>
      <c r="BP200" s="29"/>
      <c r="BQ200" s="29"/>
      <c r="BR200" s="30"/>
      <c r="BS200" s="55"/>
      <c r="BT200" s="29"/>
      <c r="BU200" s="29"/>
      <c r="BV200" s="30"/>
      <c r="BW200" s="55"/>
      <c r="BX200" s="29"/>
      <c r="BY200" s="29"/>
      <c r="BZ200" s="30"/>
      <c r="CA200" s="31"/>
    </row>
    <row r="201" spans="1:79" hidden="1">
      <c r="B201" s="297"/>
      <c r="C201" s="307" t="s">
        <v>1013</v>
      </c>
      <c r="D201" s="299" t="str">
        <f t="shared" si="55"/>
        <v xml:space="preserve"> 927</v>
      </c>
      <c r="E201" s="308" t="s">
        <v>1013</v>
      </c>
      <c r="F201" s="301">
        <f t="shared" si="56"/>
        <v>0</v>
      </c>
      <c r="G201" s="302" t="s">
        <v>1063</v>
      </c>
      <c r="H201" s="302" t="s">
        <v>229</v>
      </c>
      <c r="I201" s="302" t="s">
        <v>1125</v>
      </c>
      <c r="J201" s="313">
        <f t="shared" si="49"/>
        <v>75000</v>
      </c>
      <c r="K201" s="312">
        <f t="shared" si="47"/>
        <v>0</v>
      </c>
      <c r="L201" s="314" t="s">
        <v>67</v>
      </c>
      <c r="M201" s="318">
        <v>75000</v>
      </c>
      <c r="N201" s="316">
        <v>6450</v>
      </c>
      <c r="O201" s="306">
        <f t="shared" si="48"/>
        <v>81450</v>
      </c>
      <c r="P201" s="294"/>
      <c r="Q201" s="292" t="s">
        <v>1186</v>
      </c>
      <c r="R201" s="22"/>
      <c r="S201" s="22">
        <f t="shared" si="50"/>
        <v>81450</v>
      </c>
      <c r="T201" s="22">
        <f t="shared" si="51"/>
        <v>116357.14285714287</v>
      </c>
      <c r="U201" s="23">
        <f t="shared" si="52"/>
        <v>132979.5918367347</v>
      </c>
      <c r="V201" s="24">
        <f t="shared" si="53"/>
        <v>0.12499999999999997</v>
      </c>
      <c r="W201" s="23">
        <f t="shared" si="57"/>
        <v>133000</v>
      </c>
      <c r="X201" s="164">
        <f t="shared" si="54"/>
        <v>0.3000000000000001</v>
      </c>
      <c r="Y201" s="25"/>
      <c r="Z201" s="25"/>
      <c r="AA201" s="25"/>
      <c r="AB201" s="34"/>
      <c r="AC201" s="164"/>
      <c r="AD201" s="35"/>
      <c r="AE201" s="36"/>
      <c r="AF201" s="29"/>
      <c r="AG201" s="29"/>
      <c r="AH201" s="30"/>
      <c r="AI201" s="172" t="s">
        <v>608</v>
      </c>
      <c r="AJ201" s="29"/>
      <c r="AK201" s="29"/>
      <c r="AL201" s="30"/>
      <c r="AM201" s="172" t="s">
        <v>608</v>
      </c>
      <c r="AN201" s="29"/>
      <c r="AO201" s="29"/>
      <c r="AP201" s="30"/>
      <c r="AQ201" s="172" t="s">
        <v>608</v>
      </c>
      <c r="AR201" s="29"/>
      <c r="AS201" s="29"/>
      <c r="AT201" s="30"/>
      <c r="AU201" s="172" t="s">
        <v>608</v>
      </c>
      <c r="AV201" s="29"/>
      <c r="AW201" s="29"/>
      <c r="AX201" s="30"/>
      <c r="AY201" s="55"/>
      <c r="AZ201" s="29"/>
      <c r="BA201" s="29"/>
      <c r="BB201" s="30"/>
      <c r="BC201" s="172" t="s">
        <v>751</v>
      </c>
      <c r="BD201" s="29"/>
      <c r="BE201" s="29"/>
      <c r="BF201" s="30"/>
      <c r="BG201" s="55"/>
      <c r="BH201" s="29"/>
      <c r="BI201" s="29"/>
      <c r="BJ201" s="30"/>
      <c r="BK201" s="172" t="s">
        <v>751</v>
      </c>
      <c r="BL201" s="29"/>
      <c r="BM201" s="29"/>
      <c r="BN201" s="30"/>
      <c r="BO201" s="55"/>
      <c r="BP201" s="29"/>
      <c r="BQ201" s="29"/>
      <c r="BR201" s="30"/>
      <c r="BS201" s="55"/>
      <c r="BT201" s="29"/>
      <c r="BU201" s="29"/>
      <c r="BV201" s="30"/>
      <c r="BW201" s="55"/>
      <c r="BX201" s="29"/>
      <c r="BY201" s="29"/>
      <c r="BZ201" s="30"/>
      <c r="CA201" s="31"/>
    </row>
    <row r="202" spans="1:79" hidden="1">
      <c r="B202" s="297"/>
      <c r="C202" s="307" t="s">
        <v>1014</v>
      </c>
      <c r="D202" s="299" t="str">
        <f t="shared" si="55"/>
        <v xml:space="preserve"> 711</v>
      </c>
      <c r="E202" s="308" t="s">
        <v>1014</v>
      </c>
      <c r="F202" s="301">
        <f t="shared" si="56"/>
        <v>0</v>
      </c>
      <c r="G202" s="302" t="s">
        <v>1063</v>
      </c>
      <c r="H202" s="302" t="s">
        <v>250</v>
      </c>
      <c r="I202" s="302" t="s">
        <v>1125</v>
      </c>
      <c r="J202" s="313">
        <f t="shared" si="49"/>
        <v>84000</v>
      </c>
      <c r="K202" s="312">
        <f t="shared" si="47"/>
        <v>0</v>
      </c>
      <c r="L202" s="314" t="s">
        <v>67</v>
      </c>
      <c r="M202" s="318">
        <v>84000</v>
      </c>
      <c r="N202" s="316">
        <v>6450</v>
      </c>
      <c r="O202" s="306">
        <f t="shared" si="48"/>
        <v>90450</v>
      </c>
      <c r="P202" s="294"/>
      <c r="Q202" s="292" t="s">
        <v>1186</v>
      </c>
      <c r="R202" s="22"/>
      <c r="S202" s="22">
        <f t="shared" si="50"/>
        <v>90450</v>
      </c>
      <c r="T202" s="22">
        <f t="shared" si="51"/>
        <v>129214.28571428572</v>
      </c>
      <c r="U202" s="23">
        <f t="shared" si="52"/>
        <v>147673.46938775512</v>
      </c>
      <c r="V202" s="24">
        <f t="shared" si="53"/>
        <v>0.12500000000000003</v>
      </c>
      <c r="W202" s="23">
        <f t="shared" si="57"/>
        <v>147700</v>
      </c>
      <c r="X202" s="164">
        <f t="shared" si="54"/>
        <v>0.30000000000000004</v>
      </c>
      <c r="Y202" s="25"/>
      <c r="Z202" s="25"/>
      <c r="AA202" s="37"/>
      <c r="AB202" s="26"/>
      <c r="AC202" s="164"/>
      <c r="AD202" s="35"/>
      <c r="AE202" s="36"/>
      <c r="AF202" s="29"/>
      <c r="AG202" s="29"/>
      <c r="AH202" s="30"/>
      <c r="AI202" s="172" t="s">
        <v>608</v>
      </c>
      <c r="AJ202" s="29"/>
      <c r="AK202" s="29"/>
      <c r="AL202" s="30"/>
      <c r="AM202" s="172" t="s">
        <v>608</v>
      </c>
      <c r="AN202" s="29"/>
      <c r="AO202" s="29"/>
      <c r="AP202" s="30"/>
      <c r="AQ202" s="172" t="s">
        <v>608</v>
      </c>
      <c r="AR202" s="29"/>
      <c r="AS202" s="29"/>
      <c r="AT202" s="30"/>
      <c r="AU202" s="172" t="s">
        <v>608</v>
      </c>
      <c r="AV202" s="29"/>
      <c r="AW202" s="29"/>
      <c r="AX202" s="30"/>
      <c r="AY202" s="55"/>
      <c r="AZ202" s="29"/>
      <c r="BA202" s="29"/>
      <c r="BB202" s="30"/>
      <c r="BC202" s="172" t="s">
        <v>751</v>
      </c>
      <c r="BD202" s="29"/>
      <c r="BE202" s="29"/>
      <c r="BF202" s="30"/>
      <c r="BG202" s="55"/>
      <c r="BH202" s="29"/>
      <c r="BI202" s="29"/>
      <c r="BJ202" s="30"/>
      <c r="BK202" s="172" t="s">
        <v>751</v>
      </c>
      <c r="BL202" s="29"/>
      <c r="BM202" s="29"/>
      <c r="BN202" s="30"/>
      <c r="BO202" s="55"/>
      <c r="BP202" s="29"/>
      <c r="BQ202" s="29"/>
      <c r="BR202" s="30"/>
      <c r="BS202" s="55"/>
      <c r="BT202" s="29"/>
      <c r="BU202" s="29"/>
      <c r="BV202" s="30"/>
      <c r="BW202" s="55"/>
      <c r="BX202" s="29"/>
      <c r="BY202" s="29"/>
      <c r="BZ202" s="30"/>
      <c r="CA202" s="31"/>
    </row>
    <row r="203" spans="1:79" hidden="1">
      <c r="B203" s="297"/>
      <c r="C203" s="307" t="s">
        <v>1015</v>
      </c>
      <c r="D203" s="299" t="str">
        <f t="shared" si="55"/>
        <v xml:space="preserve"> 343</v>
      </c>
      <c r="E203" s="308" t="s">
        <v>1015</v>
      </c>
      <c r="F203" s="301">
        <f t="shared" si="56"/>
        <v>0</v>
      </c>
      <c r="G203" s="302" t="s">
        <v>1063</v>
      </c>
      <c r="H203" s="302" t="s">
        <v>137</v>
      </c>
      <c r="I203" s="302" t="s">
        <v>1125</v>
      </c>
      <c r="J203" s="313">
        <f t="shared" si="49"/>
        <v>87500</v>
      </c>
      <c r="K203" s="312">
        <f t="shared" si="47"/>
        <v>0</v>
      </c>
      <c r="L203" s="314" t="s">
        <v>67</v>
      </c>
      <c r="M203" s="318">
        <v>87500</v>
      </c>
      <c r="N203" s="316">
        <v>4250</v>
      </c>
      <c r="O203" s="306">
        <f t="shared" si="48"/>
        <v>91750</v>
      </c>
      <c r="P203" s="294"/>
      <c r="Q203" s="292" t="s">
        <v>1206</v>
      </c>
      <c r="R203" s="22"/>
      <c r="S203" s="22">
        <f t="shared" si="50"/>
        <v>91750</v>
      </c>
      <c r="T203" s="22">
        <f t="shared" si="51"/>
        <v>131071.42857142858</v>
      </c>
      <c r="U203" s="23">
        <f t="shared" si="52"/>
        <v>149795.91836734695</v>
      </c>
      <c r="V203" s="24">
        <f t="shared" si="53"/>
        <v>0.12500000000000003</v>
      </c>
      <c r="W203" s="23">
        <f t="shared" si="57"/>
        <v>149800</v>
      </c>
      <c r="X203" s="164">
        <f t="shared" si="54"/>
        <v>0.30000000000000004</v>
      </c>
      <c r="Y203" s="25"/>
      <c r="Z203" s="25"/>
      <c r="AA203" s="25"/>
      <c r="AB203" s="34"/>
      <c r="AC203" s="164"/>
      <c r="AD203" s="35"/>
      <c r="AE203" s="36"/>
      <c r="AF203" s="29"/>
      <c r="AG203" s="29"/>
      <c r="AH203" s="30"/>
      <c r="AI203" s="172" t="s">
        <v>608</v>
      </c>
      <c r="AJ203" s="29"/>
      <c r="AK203" s="29"/>
      <c r="AL203" s="30"/>
      <c r="AM203" s="172" t="s">
        <v>608</v>
      </c>
      <c r="AN203" s="29"/>
      <c r="AO203" s="29"/>
      <c r="AP203" s="30"/>
      <c r="AQ203" s="172" t="s">
        <v>608</v>
      </c>
      <c r="AR203" s="29"/>
      <c r="AS203" s="29"/>
      <c r="AT203" s="30"/>
      <c r="AU203" s="172" t="s">
        <v>608</v>
      </c>
      <c r="AV203" s="29"/>
      <c r="AW203" s="29"/>
      <c r="AX203" s="30"/>
      <c r="AY203" s="55"/>
      <c r="AZ203" s="29"/>
      <c r="BA203" s="29"/>
      <c r="BB203" s="30"/>
      <c r="BC203" s="172" t="s">
        <v>751</v>
      </c>
      <c r="BD203" s="29"/>
      <c r="BE203" s="29"/>
      <c r="BF203" s="30"/>
      <c r="BG203" s="55"/>
      <c r="BH203" s="29"/>
      <c r="BI203" s="29"/>
      <c r="BJ203" s="30"/>
      <c r="BK203" s="172" t="s">
        <v>751</v>
      </c>
      <c r="BL203" s="29"/>
      <c r="BM203" s="29"/>
      <c r="BN203" s="30"/>
      <c r="BO203" s="55"/>
      <c r="BP203" s="29"/>
      <c r="BQ203" s="29"/>
      <c r="BR203" s="30"/>
      <c r="BS203" s="55"/>
      <c r="BT203" s="29"/>
      <c r="BU203" s="29"/>
      <c r="BV203" s="30"/>
      <c r="BW203" s="55"/>
      <c r="BX203" s="29"/>
      <c r="BY203" s="29"/>
      <c r="BZ203" s="30"/>
      <c r="CA203" s="31"/>
    </row>
    <row r="204" spans="1:79" hidden="1">
      <c r="B204" s="297"/>
      <c r="C204" s="307" t="s">
        <v>382</v>
      </c>
      <c r="D204" s="299" t="str">
        <f t="shared" si="55"/>
        <v xml:space="preserve"> 468</v>
      </c>
      <c r="E204" s="308" t="s">
        <v>382</v>
      </c>
      <c r="F204" s="301">
        <f t="shared" si="56"/>
        <v>0</v>
      </c>
      <c r="G204" s="302" t="s">
        <v>35</v>
      </c>
      <c r="H204" s="302" t="s">
        <v>373</v>
      </c>
      <c r="I204" s="302" t="s">
        <v>1126</v>
      </c>
      <c r="J204" s="303">
        <v>36000</v>
      </c>
      <c r="K204" s="312">
        <f t="shared" si="47"/>
        <v>4900</v>
      </c>
      <c r="L204" s="301" t="s">
        <v>69</v>
      </c>
      <c r="M204" s="305">
        <f t="shared" ref="M204:M205" si="58">J204-N204</f>
        <v>31100</v>
      </c>
      <c r="N204" s="316">
        <v>4900</v>
      </c>
      <c r="O204" s="306">
        <f t="shared" si="48"/>
        <v>36000</v>
      </c>
      <c r="P204" s="294"/>
      <c r="Q204" s="292" t="s">
        <v>1155</v>
      </c>
      <c r="R204" s="22"/>
      <c r="S204" s="22">
        <f t="shared" si="50"/>
        <v>36000</v>
      </c>
      <c r="T204" s="22">
        <f t="shared" si="51"/>
        <v>51428.571428571435</v>
      </c>
      <c r="U204" s="23">
        <f t="shared" si="52"/>
        <v>58775.510204081642</v>
      </c>
      <c r="V204" s="24">
        <f t="shared" si="53"/>
        <v>0.12500000000000003</v>
      </c>
      <c r="W204" s="23">
        <f t="shared" si="57"/>
        <v>58800</v>
      </c>
      <c r="X204" s="164">
        <f t="shared" si="54"/>
        <v>0.3000000000000001</v>
      </c>
      <c r="Y204" s="25"/>
      <c r="Z204" s="25"/>
      <c r="AA204" s="25"/>
      <c r="AB204" s="34"/>
      <c r="AC204" s="164"/>
      <c r="AD204" s="35"/>
      <c r="AE204" s="36"/>
      <c r="AF204" s="29"/>
      <c r="AG204" s="29"/>
      <c r="AH204" s="30"/>
      <c r="AI204" s="172" t="s">
        <v>608</v>
      </c>
      <c r="AJ204" s="29"/>
      <c r="AK204" s="29"/>
      <c r="AL204" s="30"/>
      <c r="AM204" s="172" t="s">
        <v>608</v>
      </c>
      <c r="AN204" s="29"/>
      <c r="AO204" s="29"/>
      <c r="AP204" s="30"/>
      <c r="AQ204" s="172" t="s">
        <v>608</v>
      </c>
      <c r="AR204" s="29"/>
      <c r="AS204" s="29"/>
      <c r="AT204" s="30"/>
      <c r="AU204" s="172" t="s">
        <v>608</v>
      </c>
      <c r="AV204" s="29"/>
      <c r="AW204" s="29"/>
      <c r="AX204" s="30"/>
      <c r="AY204" s="55"/>
      <c r="AZ204" s="29"/>
      <c r="BA204" s="29"/>
      <c r="BB204" s="30"/>
      <c r="BC204" s="172" t="s">
        <v>751</v>
      </c>
      <c r="BD204" s="29"/>
      <c r="BE204" s="29"/>
      <c r="BF204" s="30"/>
      <c r="BG204" s="55"/>
      <c r="BH204" s="29"/>
      <c r="BI204" s="29"/>
      <c r="BJ204" s="30"/>
      <c r="BK204" s="172" t="s">
        <v>751</v>
      </c>
      <c r="BL204" s="29"/>
      <c r="BM204" s="29"/>
      <c r="BN204" s="30"/>
      <c r="BO204" s="55"/>
      <c r="BP204" s="29"/>
      <c r="BQ204" s="29"/>
      <c r="BR204" s="30"/>
      <c r="BS204" s="55"/>
      <c r="BT204" s="29"/>
      <c r="BU204" s="29"/>
      <c r="BV204" s="30"/>
      <c r="BW204" s="55"/>
      <c r="BX204" s="29"/>
      <c r="BY204" s="29"/>
      <c r="BZ204" s="30"/>
      <c r="CA204" s="31"/>
    </row>
    <row r="205" spans="1:79" hidden="1">
      <c r="B205" s="297"/>
      <c r="C205" s="307" t="s">
        <v>710</v>
      </c>
      <c r="D205" s="299" t="str">
        <f t="shared" si="55"/>
        <v xml:space="preserve"> 578</v>
      </c>
      <c r="E205" s="308" t="s">
        <v>710</v>
      </c>
      <c r="F205" s="301">
        <f t="shared" si="56"/>
        <v>0</v>
      </c>
      <c r="G205" s="302" t="s">
        <v>35</v>
      </c>
      <c r="H205" s="302" t="s">
        <v>373</v>
      </c>
      <c r="I205" s="302" t="s">
        <v>1126</v>
      </c>
      <c r="J205" s="303">
        <v>37000</v>
      </c>
      <c r="K205" s="312">
        <f t="shared" si="47"/>
        <v>5900</v>
      </c>
      <c r="L205" s="301" t="s">
        <v>69</v>
      </c>
      <c r="M205" s="305">
        <f t="shared" si="58"/>
        <v>31100</v>
      </c>
      <c r="N205" s="316">
        <v>5900</v>
      </c>
      <c r="O205" s="306">
        <f t="shared" si="48"/>
        <v>37000</v>
      </c>
      <c r="P205" s="294"/>
      <c r="Q205" s="292" t="s">
        <v>1210</v>
      </c>
      <c r="R205" s="22"/>
      <c r="S205" s="22">
        <f t="shared" si="50"/>
        <v>37000</v>
      </c>
      <c r="T205" s="22">
        <f t="shared" si="51"/>
        <v>52857.142857142862</v>
      </c>
      <c r="U205" s="23">
        <f t="shared" si="52"/>
        <v>60408.163265306132</v>
      </c>
      <c r="V205" s="24">
        <f t="shared" si="53"/>
        <v>0.12500000000000006</v>
      </c>
      <c r="W205" s="23">
        <f t="shared" si="57"/>
        <v>60500</v>
      </c>
      <c r="X205" s="164">
        <f t="shared" si="54"/>
        <v>0.30000000000000004</v>
      </c>
      <c r="Y205" s="25"/>
      <c r="Z205" s="25"/>
      <c r="AA205" s="25"/>
      <c r="AB205" s="34" t="s">
        <v>239</v>
      </c>
      <c r="AC205" s="164" t="e">
        <f>AVERAGE(X205,X204,#REF!,X203,X203,X201,X200,X199,X198)</f>
        <v>#REF!</v>
      </c>
      <c r="AD205" s="46" t="e">
        <f>AVERAGE(T198,T199,T200,T201,T203,#REF!,T204,T205)</f>
        <v>#REF!</v>
      </c>
      <c r="AE205" s="28">
        <f>AVERAGE(AI205,AM205,AQ205,AU205,BC205,BK205,BO205,BS205,BW205)</f>
        <v>88352.595238095222</v>
      </c>
      <c r="AF205" s="180">
        <v>86738.095238095237</v>
      </c>
      <c r="AG205" s="181">
        <v>80036</v>
      </c>
      <c r="AH205" s="21" t="e">
        <f>(AD205-AF205)/AF205</f>
        <v>#REF!</v>
      </c>
      <c r="AI205" s="41">
        <f>56282.5/0.7</f>
        <v>80403.571428571435</v>
      </c>
      <c r="AJ205" s="180">
        <f>51813/0.7</f>
        <v>74018.571428571435</v>
      </c>
      <c r="AK205" s="180">
        <v>69530</v>
      </c>
      <c r="AL205" s="21">
        <f>(AI205-AJ205)/AJ205</f>
        <v>8.6262134985428354E-2</v>
      </c>
      <c r="AM205" s="59">
        <v>78540</v>
      </c>
      <c r="AN205" s="180">
        <f>53493/0.7</f>
        <v>76418.571428571435</v>
      </c>
      <c r="AO205" s="180">
        <v>70267</v>
      </c>
      <c r="AP205" s="21">
        <f>(AM205-AN205)/AN205</f>
        <v>2.776064157927197E-2</v>
      </c>
      <c r="AQ205" s="44">
        <v>92250</v>
      </c>
      <c r="AR205" s="180">
        <f>60638/0.7</f>
        <v>86625.71428571429</v>
      </c>
      <c r="AS205" s="180">
        <v>86625</v>
      </c>
      <c r="AT205" s="21">
        <f>(AQ205-AR205)/AR205</f>
        <v>6.4926283848411842E-2</v>
      </c>
      <c r="AU205" s="44">
        <f>63000/0.7</f>
        <v>90000</v>
      </c>
      <c r="AV205" s="180">
        <f>58433/0.7</f>
        <v>83475.71428571429</v>
      </c>
      <c r="AW205" s="180">
        <v>83475</v>
      </c>
      <c r="AX205" s="21">
        <f>(AU205-AV205)/AV205</f>
        <v>7.8157890233258545E-2</v>
      </c>
      <c r="AY205" s="57"/>
      <c r="AZ205" s="29"/>
      <c r="BA205" s="29"/>
      <c r="BB205" s="30"/>
      <c r="BC205" s="44">
        <v>91422</v>
      </c>
      <c r="BD205" s="180">
        <v>86886</v>
      </c>
      <c r="BE205" s="180">
        <v>80136</v>
      </c>
      <c r="BF205" s="21">
        <f>(BC205-BD205)/BD205</f>
        <v>5.2206339341205721E-2</v>
      </c>
      <c r="BG205" s="57"/>
      <c r="BH205" s="29"/>
      <c r="BI205" s="29"/>
      <c r="BJ205" s="30"/>
      <c r="BK205" s="44">
        <v>97500</v>
      </c>
      <c r="BL205" s="180">
        <f>61880/0.7</f>
        <v>88400</v>
      </c>
      <c r="BM205" s="180">
        <v>86833</v>
      </c>
      <c r="BN205" s="21">
        <f>(BK205-BL205)/BL205</f>
        <v>0.10294117647058823</v>
      </c>
      <c r="BO205" s="57"/>
      <c r="BP205" s="180">
        <f>79587/0.7</f>
        <v>113695.71428571429</v>
      </c>
      <c r="BQ205" s="29"/>
      <c r="BR205" s="30"/>
      <c r="BS205" s="55"/>
      <c r="BT205" s="29"/>
      <c r="BU205" s="29"/>
      <c r="BV205" s="30"/>
      <c r="BW205" s="55"/>
      <c r="BX205" s="29"/>
      <c r="BY205" s="29"/>
      <c r="BZ205" s="30"/>
      <c r="CA205" s="31"/>
    </row>
    <row r="206" spans="1:79" hidden="1">
      <c r="B206" s="297"/>
      <c r="C206" s="307" t="s">
        <v>1016</v>
      </c>
      <c r="D206" s="299" t="str">
        <f t="shared" si="55"/>
        <v xml:space="preserve"> 516</v>
      </c>
      <c r="E206" s="308" t="s">
        <v>1016</v>
      </c>
      <c r="F206" s="301">
        <f t="shared" si="56"/>
        <v>0</v>
      </c>
      <c r="G206" s="302" t="s">
        <v>1063</v>
      </c>
      <c r="H206" s="302" t="s">
        <v>292</v>
      </c>
      <c r="I206" s="302" t="s">
        <v>1126</v>
      </c>
      <c r="J206" s="313">
        <f>M206</f>
        <v>60000</v>
      </c>
      <c r="K206" s="312">
        <f t="shared" si="47"/>
        <v>0</v>
      </c>
      <c r="L206" s="314" t="s">
        <v>67</v>
      </c>
      <c r="M206" s="318">
        <v>60000</v>
      </c>
      <c r="N206" s="316">
        <v>5900</v>
      </c>
      <c r="O206" s="306">
        <f t="shared" si="48"/>
        <v>65900</v>
      </c>
      <c r="P206" s="295"/>
      <c r="Q206" s="292" t="s">
        <v>1211</v>
      </c>
      <c r="R206" s="22"/>
      <c r="S206" s="22">
        <f t="shared" si="50"/>
        <v>65900</v>
      </c>
      <c r="T206" s="22">
        <f t="shared" si="51"/>
        <v>94142.857142857145</v>
      </c>
      <c r="U206" s="23">
        <f t="shared" si="52"/>
        <v>107591.83673469388</v>
      </c>
      <c r="V206" s="24">
        <f t="shared" si="53"/>
        <v>0.12499999999999997</v>
      </c>
      <c r="W206" s="23">
        <f t="shared" si="57"/>
        <v>107600</v>
      </c>
      <c r="X206" s="164">
        <f t="shared" si="54"/>
        <v>0.3</v>
      </c>
      <c r="Y206" s="25"/>
      <c r="Z206" s="25"/>
      <c r="AA206" s="25"/>
      <c r="AB206" s="34"/>
      <c r="AC206" s="164"/>
      <c r="AD206" s="35"/>
      <c r="AE206" s="36"/>
      <c r="AF206" s="29"/>
      <c r="AG206" s="29"/>
      <c r="AH206" s="30"/>
      <c r="AI206" s="172" t="s">
        <v>608</v>
      </c>
      <c r="AJ206" s="29"/>
      <c r="AK206" s="29"/>
      <c r="AL206" s="30"/>
      <c r="AM206" s="172" t="s">
        <v>608</v>
      </c>
      <c r="AN206" s="29"/>
      <c r="AO206" s="29"/>
      <c r="AP206" s="30"/>
      <c r="AQ206" s="172" t="s">
        <v>608</v>
      </c>
      <c r="AR206" s="29"/>
      <c r="AS206" s="29"/>
      <c r="AT206" s="30"/>
      <c r="AU206" s="172" t="s">
        <v>608</v>
      </c>
      <c r="AV206" s="29"/>
      <c r="AW206" s="29"/>
      <c r="AX206" s="30"/>
      <c r="AY206" s="55"/>
      <c r="AZ206" s="29"/>
      <c r="BA206" s="29"/>
      <c r="BB206" s="30"/>
      <c r="BC206" s="172" t="s">
        <v>751</v>
      </c>
      <c r="BD206" s="29"/>
      <c r="BE206" s="29"/>
      <c r="BF206" s="30"/>
      <c r="BG206" s="55"/>
      <c r="BH206" s="29"/>
      <c r="BI206" s="29"/>
      <c r="BJ206" s="30"/>
      <c r="BK206" s="172" t="s">
        <v>751</v>
      </c>
      <c r="BL206" s="29"/>
      <c r="BM206" s="29"/>
      <c r="BN206" s="30"/>
      <c r="BO206" s="55"/>
      <c r="BP206" s="29"/>
      <c r="BQ206" s="29"/>
      <c r="BR206" s="30"/>
      <c r="BS206" s="55"/>
      <c r="BT206" s="29"/>
      <c r="BU206" s="29"/>
      <c r="BV206" s="30"/>
      <c r="BW206" s="55"/>
      <c r="BX206" s="29"/>
      <c r="BY206" s="29"/>
      <c r="BZ206" s="30"/>
      <c r="CA206" s="31"/>
    </row>
    <row r="207" spans="1:79" hidden="1">
      <c r="A207" s="71"/>
      <c r="B207" s="297"/>
      <c r="C207" s="307" t="s">
        <v>1017</v>
      </c>
      <c r="D207" s="299" t="str">
        <f t="shared" si="55"/>
        <v xml:space="preserve"> 424</v>
      </c>
      <c r="E207" s="308" t="s">
        <v>1017</v>
      </c>
      <c r="F207" s="301">
        <f t="shared" si="56"/>
        <v>0</v>
      </c>
      <c r="G207" s="302" t="s">
        <v>1063</v>
      </c>
      <c r="H207" s="302" t="s">
        <v>1073</v>
      </c>
      <c r="I207" s="302" t="s">
        <v>1126</v>
      </c>
      <c r="J207" s="313">
        <f t="shared" ref="J207:J208" si="59">M207</f>
        <v>67500</v>
      </c>
      <c r="K207" s="312">
        <f t="shared" si="47"/>
        <v>0</v>
      </c>
      <c r="L207" s="314" t="s">
        <v>67</v>
      </c>
      <c r="M207" s="318">
        <v>67500</v>
      </c>
      <c r="N207" s="316">
        <v>6900</v>
      </c>
      <c r="O207" s="306">
        <f t="shared" si="48"/>
        <v>74400</v>
      </c>
      <c r="P207" s="295"/>
      <c r="Q207" s="292" t="s">
        <v>1212</v>
      </c>
      <c r="R207" s="22"/>
      <c r="S207" s="22">
        <f t="shared" si="50"/>
        <v>74400</v>
      </c>
      <c r="T207" s="22">
        <f t="shared" si="51"/>
        <v>106285.71428571429</v>
      </c>
      <c r="U207" s="23">
        <f t="shared" si="52"/>
        <v>121469.38775510204</v>
      </c>
      <c r="V207" s="24">
        <f t="shared" si="53"/>
        <v>0.12499999999999997</v>
      </c>
      <c r="W207" s="23">
        <f t="shared" si="57"/>
        <v>121500</v>
      </c>
      <c r="X207" s="164">
        <f t="shared" si="54"/>
        <v>0.30000000000000004</v>
      </c>
      <c r="Y207" s="25"/>
      <c r="Z207" s="25"/>
      <c r="AA207" s="25"/>
      <c r="AB207" s="34"/>
      <c r="AC207" s="164"/>
      <c r="AD207" s="35"/>
      <c r="AE207" s="36"/>
      <c r="AF207" s="29"/>
      <c r="AG207" s="29"/>
      <c r="AH207" s="30"/>
      <c r="AI207" s="172" t="s">
        <v>608</v>
      </c>
      <c r="AJ207" s="29"/>
      <c r="AK207" s="29"/>
      <c r="AL207" s="30"/>
      <c r="AM207" s="172" t="s">
        <v>608</v>
      </c>
      <c r="AN207" s="29"/>
      <c r="AO207" s="29"/>
      <c r="AP207" s="30"/>
      <c r="AQ207" s="172" t="s">
        <v>608</v>
      </c>
      <c r="AR207" s="29"/>
      <c r="AS207" s="29"/>
      <c r="AT207" s="30"/>
      <c r="AU207" s="172" t="s">
        <v>608</v>
      </c>
      <c r="AV207" s="29"/>
      <c r="AW207" s="29"/>
      <c r="AX207" s="30"/>
      <c r="AY207" s="55"/>
      <c r="AZ207" s="29"/>
      <c r="BA207" s="29"/>
      <c r="BB207" s="30"/>
      <c r="BC207" s="172" t="s">
        <v>751</v>
      </c>
      <c r="BD207" s="29"/>
      <c r="BE207" s="29"/>
      <c r="BF207" s="30"/>
      <c r="BG207" s="55"/>
      <c r="BH207" s="29"/>
      <c r="BI207" s="29"/>
      <c r="BJ207" s="30"/>
      <c r="BK207" s="172" t="s">
        <v>751</v>
      </c>
      <c r="BL207" s="29"/>
      <c r="BM207" s="29"/>
      <c r="BN207" s="30"/>
      <c r="BO207" s="55"/>
      <c r="BP207" s="29"/>
      <c r="BQ207" s="29"/>
      <c r="BR207" s="30"/>
      <c r="BS207" s="55"/>
      <c r="BT207" s="29"/>
      <c r="BU207" s="29"/>
      <c r="BV207" s="30"/>
      <c r="BW207" s="55"/>
      <c r="BX207" s="29"/>
      <c r="BY207" s="29"/>
      <c r="BZ207" s="30"/>
      <c r="CA207" s="31"/>
    </row>
    <row r="208" spans="1:79" hidden="1">
      <c r="B208" s="297"/>
      <c r="C208" s="307" t="s">
        <v>1018</v>
      </c>
      <c r="D208" s="299" t="str">
        <f t="shared" si="55"/>
        <v xml:space="preserve"> 930</v>
      </c>
      <c r="E208" s="308" t="s">
        <v>1018</v>
      </c>
      <c r="F208" s="301">
        <f t="shared" si="56"/>
        <v>0</v>
      </c>
      <c r="G208" s="302" t="s">
        <v>1063</v>
      </c>
      <c r="H208" s="302" t="s">
        <v>292</v>
      </c>
      <c r="I208" s="302" t="s">
        <v>1126</v>
      </c>
      <c r="J208" s="313">
        <f t="shared" si="59"/>
        <v>65000</v>
      </c>
      <c r="K208" s="312">
        <f t="shared" si="47"/>
        <v>0</v>
      </c>
      <c r="L208" s="314" t="s">
        <v>67</v>
      </c>
      <c r="M208" s="318">
        <v>65000</v>
      </c>
      <c r="N208" s="316">
        <v>6550</v>
      </c>
      <c r="O208" s="306">
        <f t="shared" si="48"/>
        <v>71550</v>
      </c>
      <c r="P208" s="294"/>
      <c r="Q208" s="292" t="s">
        <v>1213</v>
      </c>
      <c r="R208" s="22"/>
      <c r="S208" s="22">
        <f t="shared" si="50"/>
        <v>71550</v>
      </c>
      <c r="T208" s="22">
        <f t="shared" si="51"/>
        <v>102214.28571428572</v>
      </c>
      <c r="U208" s="23">
        <f t="shared" si="52"/>
        <v>116816.32653061226</v>
      </c>
      <c r="V208" s="24">
        <f t="shared" si="53"/>
        <v>0.12500000000000006</v>
      </c>
      <c r="W208" s="23">
        <f t="shared" si="57"/>
        <v>116900</v>
      </c>
      <c r="X208" s="164">
        <f t="shared" si="54"/>
        <v>0.30000000000000004</v>
      </c>
      <c r="Y208" s="25"/>
      <c r="Z208" s="25"/>
      <c r="AA208" s="25"/>
      <c r="AB208" s="34"/>
      <c r="AC208" s="164"/>
      <c r="AD208" s="35"/>
      <c r="AE208" s="36"/>
      <c r="AF208" s="29"/>
      <c r="AG208" s="29"/>
      <c r="AH208" s="30"/>
      <c r="AI208" s="172" t="s">
        <v>608</v>
      </c>
      <c r="AJ208" s="29"/>
      <c r="AK208" s="29"/>
      <c r="AL208" s="30"/>
      <c r="AM208" s="172" t="s">
        <v>608</v>
      </c>
      <c r="AN208" s="29"/>
      <c r="AO208" s="29"/>
      <c r="AP208" s="30"/>
      <c r="AQ208" s="172" t="s">
        <v>608</v>
      </c>
      <c r="AR208" s="29"/>
      <c r="AS208" s="29"/>
      <c r="AT208" s="30"/>
      <c r="AU208" s="172" t="s">
        <v>608</v>
      </c>
      <c r="AV208" s="29"/>
      <c r="AW208" s="29"/>
      <c r="AX208" s="30"/>
      <c r="AY208" s="55"/>
      <c r="AZ208" s="29"/>
      <c r="BA208" s="29"/>
      <c r="BB208" s="30"/>
      <c r="BC208" s="172" t="s">
        <v>751</v>
      </c>
      <c r="BD208" s="29"/>
      <c r="BE208" s="29"/>
      <c r="BF208" s="30"/>
      <c r="BG208" s="55"/>
      <c r="BH208" s="29"/>
      <c r="BI208" s="29"/>
      <c r="BJ208" s="30"/>
      <c r="BK208" s="172" t="s">
        <v>751</v>
      </c>
      <c r="BL208" s="29"/>
      <c r="BM208" s="29"/>
      <c r="BN208" s="30"/>
      <c r="BO208" s="55"/>
      <c r="BP208" s="29"/>
      <c r="BQ208" s="29"/>
      <c r="BR208" s="30"/>
      <c r="BS208" s="55"/>
      <c r="BT208" s="29"/>
      <c r="BU208" s="29"/>
      <c r="BV208" s="30"/>
      <c r="BW208" s="55"/>
      <c r="BX208" s="29"/>
      <c r="BY208" s="29"/>
      <c r="BZ208" s="30"/>
      <c r="CA208" s="31"/>
    </row>
    <row r="209" spans="1:79" hidden="1">
      <c r="B209" s="297"/>
      <c r="C209" s="307" t="s">
        <v>1019</v>
      </c>
      <c r="D209" s="299" t="str">
        <f t="shared" si="55"/>
        <v xml:space="preserve"> 292</v>
      </c>
      <c r="E209" s="308" t="s">
        <v>1019</v>
      </c>
      <c r="F209" s="301">
        <f t="shared" si="56"/>
        <v>0</v>
      </c>
      <c r="G209" s="302" t="s">
        <v>1063</v>
      </c>
      <c r="H209" s="302" t="s">
        <v>292</v>
      </c>
      <c r="I209" s="302" t="s">
        <v>1127</v>
      </c>
      <c r="J209" s="303">
        <v>85000</v>
      </c>
      <c r="K209" s="312">
        <f t="shared" si="47"/>
        <v>7500</v>
      </c>
      <c r="L209" s="301" t="s">
        <v>69</v>
      </c>
      <c r="M209" s="305">
        <f t="shared" ref="M209:M230" si="60">J209-N209</f>
        <v>77500</v>
      </c>
      <c r="N209" s="316">
        <v>7500</v>
      </c>
      <c r="O209" s="306">
        <f t="shared" si="48"/>
        <v>85000</v>
      </c>
      <c r="P209" s="294"/>
      <c r="Q209" s="292" t="s">
        <v>1214</v>
      </c>
      <c r="R209" s="22"/>
      <c r="S209" s="22">
        <f t="shared" si="50"/>
        <v>85000</v>
      </c>
      <c r="T209" s="22">
        <f t="shared" si="51"/>
        <v>121428.57142857143</v>
      </c>
      <c r="U209" s="23">
        <f t="shared" si="52"/>
        <v>138775.51020408163</v>
      </c>
      <c r="V209" s="24">
        <f t="shared" si="53"/>
        <v>0.12499999999999992</v>
      </c>
      <c r="W209" s="23">
        <f t="shared" si="57"/>
        <v>138800</v>
      </c>
      <c r="X209" s="164">
        <f t="shared" si="54"/>
        <v>0.30000000000000004</v>
      </c>
      <c r="Y209" s="188">
        <v>112857</v>
      </c>
      <c r="Z209" s="188">
        <f>T209-Y209</f>
        <v>8571.5714285714348</v>
      </c>
      <c r="AA209" s="189">
        <f>Z209/Y209</f>
        <v>7.5950729051555824E-2</v>
      </c>
      <c r="AB209" s="26"/>
      <c r="AC209" s="164"/>
      <c r="AD209" s="35"/>
      <c r="AE209" s="36"/>
      <c r="AF209" s="29"/>
      <c r="AG209" s="29"/>
      <c r="AH209" s="30"/>
      <c r="AI209" s="172" t="s">
        <v>608</v>
      </c>
      <c r="AJ209" s="29"/>
      <c r="AK209" s="29"/>
      <c r="AL209" s="30"/>
      <c r="AM209" s="172" t="s">
        <v>608</v>
      </c>
      <c r="AN209" s="29"/>
      <c r="AO209" s="29"/>
      <c r="AP209" s="30"/>
      <c r="AQ209" s="172" t="s">
        <v>608</v>
      </c>
      <c r="AR209" s="29"/>
      <c r="AS209" s="29"/>
      <c r="AT209" s="30"/>
      <c r="AU209" s="172" t="s">
        <v>608</v>
      </c>
      <c r="AV209" s="29"/>
      <c r="AW209" s="29"/>
      <c r="AX209" s="30"/>
      <c r="AY209" s="55"/>
      <c r="AZ209" s="29"/>
      <c r="BA209" s="29"/>
      <c r="BB209" s="30"/>
      <c r="BC209" s="172" t="s">
        <v>751</v>
      </c>
      <c r="BD209" s="29"/>
      <c r="BE209" s="29"/>
      <c r="BF209" s="30"/>
      <c r="BG209" s="55"/>
      <c r="BH209" s="29"/>
      <c r="BI209" s="29"/>
      <c r="BJ209" s="30"/>
      <c r="BK209" s="172" t="s">
        <v>751</v>
      </c>
      <c r="BL209" s="29"/>
      <c r="BM209" s="29"/>
      <c r="BN209" s="30"/>
      <c r="BO209" s="55"/>
      <c r="BP209" s="29"/>
      <c r="BQ209" s="29"/>
      <c r="BR209" s="30"/>
      <c r="BS209" s="55"/>
      <c r="BT209" s="29"/>
      <c r="BU209" s="29"/>
      <c r="BV209" s="30"/>
      <c r="BW209" s="55"/>
      <c r="BX209" s="29"/>
      <c r="BY209" s="29"/>
      <c r="BZ209" s="30"/>
      <c r="CA209" s="31"/>
    </row>
    <row r="210" spans="1:79" hidden="1">
      <c r="B210" s="297"/>
      <c r="C210" s="307" t="s">
        <v>1020</v>
      </c>
      <c r="D210" s="299" t="str">
        <f t="shared" si="55"/>
        <v xml:space="preserve"> 708</v>
      </c>
      <c r="E210" s="308" t="s">
        <v>1020</v>
      </c>
      <c r="F210" s="301">
        <f t="shared" si="56"/>
        <v>0</v>
      </c>
      <c r="G210" s="302" t="s">
        <v>1063</v>
      </c>
      <c r="H210" s="302" t="s">
        <v>292</v>
      </c>
      <c r="I210" s="302" t="s">
        <v>1127</v>
      </c>
      <c r="J210" s="303">
        <v>95000</v>
      </c>
      <c r="K210" s="312">
        <f t="shared" si="47"/>
        <v>7500</v>
      </c>
      <c r="L210" s="301" t="s">
        <v>69</v>
      </c>
      <c r="M210" s="305">
        <f t="shared" si="60"/>
        <v>87500</v>
      </c>
      <c r="N210" s="316">
        <v>7500</v>
      </c>
      <c r="O210" s="306">
        <f t="shared" si="48"/>
        <v>95000</v>
      </c>
      <c r="P210" s="294"/>
      <c r="Q210" s="292" t="s">
        <v>1214</v>
      </c>
      <c r="R210" s="22"/>
      <c r="S210" s="22">
        <f t="shared" si="50"/>
        <v>95000</v>
      </c>
      <c r="T210" s="22">
        <f t="shared" si="51"/>
        <v>135714.28571428571</v>
      </c>
      <c r="U210" s="23">
        <f t="shared" si="52"/>
        <v>155102.04081632654</v>
      </c>
      <c r="V210" s="24">
        <f t="shared" si="53"/>
        <v>0.12500000000000008</v>
      </c>
      <c r="W210" s="23">
        <f t="shared" si="57"/>
        <v>155200</v>
      </c>
      <c r="X210" s="164">
        <f t="shared" si="54"/>
        <v>0.3</v>
      </c>
      <c r="Y210" s="25"/>
      <c r="Z210" s="25"/>
      <c r="AA210" s="25"/>
      <c r="AB210" s="34"/>
      <c r="AC210" s="164"/>
      <c r="AD210" s="35"/>
      <c r="AE210" s="36"/>
      <c r="AF210" s="29"/>
      <c r="AG210" s="29"/>
      <c r="AH210" s="30"/>
      <c r="AI210" s="172" t="s">
        <v>608</v>
      </c>
      <c r="AJ210" s="29"/>
      <c r="AK210" s="29"/>
      <c r="AL210" s="30"/>
      <c r="AM210" s="172" t="s">
        <v>608</v>
      </c>
      <c r="AN210" s="29"/>
      <c r="AO210" s="29"/>
      <c r="AP210" s="30"/>
      <c r="AQ210" s="172" t="s">
        <v>608</v>
      </c>
      <c r="AR210" s="29"/>
      <c r="AS210" s="29"/>
      <c r="AT210" s="30"/>
      <c r="AU210" s="172" t="s">
        <v>608</v>
      </c>
      <c r="AV210" s="29"/>
      <c r="AW210" s="29"/>
      <c r="AX210" s="30"/>
      <c r="AY210" s="55"/>
      <c r="AZ210" s="29"/>
      <c r="BA210" s="29"/>
      <c r="BB210" s="30"/>
      <c r="BC210" s="172" t="s">
        <v>751</v>
      </c>
      <c r="BD210" s="29"/>
      <c r="BE210" s="29"/>
      <c r="BF210" s="30"/>
      <c r="BG210" s="55"/>
      <c r="BH210" s="29"/>
      <c r="BI210" s="29"/>
      <c r="BJ210" s="30"/>
      <c r="BK210" s="172" t="s">
        <v>751</v>
      </c>
      <c r="BL210" s="29"/>
      <c r="BM210" s="29"/>
      <c r="BN210" s="30"/>
      <c r="BO210" s="55"/>
      <c r="BP210" s="29"/>
      <c r="BQ210" s="29"/>
      <c r="BR210" s="30"/>
      <c r="BS210" s="55"/>
      <c r="BT210" s="29"/>
      <c r="BU210" s="29"/>
      <c r="BV210" s="30"/>
      <c r="BW210" s="55"/>
      <c r="BX210" s="29"/>
      <c r="BY210" s="29"/>
      <c r="BZ210" s="30"/>
      <c r="CA210" s="31"/>
    </row>
    <row r="211" spans="1:79" hidden="1">
      <c r="B211" s="297"/>
      <c r="C211" s="307" t="s">
        <v>1021</v>
      </c>
      <c r="D211" s="299" t="str">
        <f t="shared" si="55"/>
        <v xml:space="preserve"> 982</v>
      </c>
      <c r="E211" s="308" t="s">
        <v>1021</v>
      </c>
      <c r="F211" s="301">
        <f t="shared" si="56"/>
        <v>0</v>
      </c>
      <c r="G211" s="302" t="s">
        <v>1063</v>
      </c>
      <c r="H211" s="302" t="s">
        <v>292</v>
      </c>
      <c r="I211" s="302" t="s">
        <v>1127</v>
      </c>
      <c r="J211" s="303">
        <v>93500</v>
      </c>
      <c r="K211" s="312">
        <f t="shared" si="47"/>
        <v>6900</v>
      </c>
      <c r="L211" s="301" t="s">
        <v>69</v>
      </c>
      <c r="M211" s="305">
        <f t="shared" si="60"/>
        <v>86600</v>
      </c>
      <c r="N211" s="316">
        <v>6900</v>
      </c>
      <c r="O211" s="306">
        <f t="shared" si="48"/>
        <v>93500</v>
      </c>
      <c r="P211" s="294"/>
      <c r="Q211" s="292" t="s">
        <v>1215</v>
      </c>
      <c r="R211" s="22"/>
      <c r="S211" s="22">
        <f t="shared" si="50"/>
        <v>93500</v>
      </c>
      <c r="T211" s="22">
        <f t="shared" si="51"/>
        <v>133571.42857142858</v>
      </c>
      <c r="U211" s="23">
        <f t="shared" si="52"/>
        <v>152653.06122448979</v>
      </c>
      <c r="V211" s="24">
        <f t="shared" si="53"/>
        <v>0.12499999999999993</v>
      </c>
      <c r="W211" s="23">
        <f t="shared" si="57"/>
        <v>152700</v>
      </c>
      <c r="X211" s="164">
        <f t="shared" si="54"/>
        <v>0.30000000000000004</v>
      </c>
      <c r="Y211" s="188">
        <v>112857</v>
      </c>
      <c r="Z211" s="188">
        <f>T211-Y211</f>
        <v>20714.42857142858</v>
      </c>
      <c r="AA211" s="189">
        <f>Z211/Y211</f>
        <v>0.18354580195671141</v>
      </c>
      <c r="AB211" s="26"/>
      <c r="AC211" s="164"/>
      <c r="AD211" s="35"/>
      <c r="AE211" s="36"/>
      <c r="AF211" s="29"/>
      <c r="AG211" s="29"/>
      <c r="AH211" s="30"/>
      <c r="AI211" s="172" t="s">
        <v>608</v>
      </c>
      <c r="AJ211" s="29"/>
      <c r="AK211" s="29"/>
      <c r="AL211" s="30"/>
      <c r="AM211" s="172" t="s">
        <v>608</v>
      </c>
      <c r="AN211" s="29"/>
      <c r="AO211" s="29"/>
      <c r="AP211" s="30"/>
      <c r="AQ211" s="172" t="s">
        <v>608</v>
      </c>
      <c r="AR211" s="29"/>
      <c r="AS211" s="29"/>
      <c r="AT211" s="30"/>
      <c r="AU211" s="172" t="s">
        <v>608</v>
      </c>
      <c r="AV211" s="29"/>
      <c r="AW211" s="29"/>
      <c r="AX211" s="30"/>
      <c r="AY211" s="55"/>
      <c r="AZ211" s="29"/>
      <c r="BA211" s="29"/>
      <c r="BB211" s="30"/>
      <c r="BC211" s="172" t="s">
        <v>751</v>
      </c>
      <c r="BD211" s="29"/>
      <c r="BE211" s="29"/>
      <c r="BF211" s="30"/>
      <c r="BG211" s="55"/>
      <c r="BH211" s="29"/>
      <c r="BI211" s="29"/>
      <c r="BJ211" s="30"/>
      <c r="BK211" s="172" t="s">
        <v>751</v>
      </c>
      <c r="BL211" s="29"/>
      <c r="BM211" s="29"/>
      <c r="BN211" s="30"/>
      <c r="BO211" s="55"/>
      <c r="BP211" s="29"/>
      <c r="BQ211" s="29"/>
      <c r="BR211" s="30"/>
      <c r="BS211" s="55"/>
      <c r="BT211" s="29"/>
      <c r="BU211" s="29"/>
      <c r="BV211" s="30"/>
      <c r="BW211" s="55"/>
      <c r="BX211" s="29"/>
      <c r="BY211" s="29"/>
      <c r="BZ211" s="30"/>
      <c r="CA211" s="31"/>
    </row>
    <row r="212" spans="1:79" hidden="1">
      <c r="B212" s="297"/>
      <c r="C212" s="307" t="s">
        <v>1022</v>
      </c>
      <c r="D212" s="299" t="str">
        <f t="shared" si="55"/>
        <v xml:space="preserve"> 592</v>
      </c>
      <c r="E212" s="308" t="s">
        <v>1022</v>
      </c>
      <c r="F212" s="301">
        <f t="shared" si="56"/>
        <v>0</v>
      </c>
      <c r="G212" s="302" t="s">
        <v>1063</v>
      </c>
      <c r="H212" s="302" t="s">
        <v>292</v>
      </c>
      <c r="I212" s="302" t="s">
        <v>1127</v>
      </c>
      <c r="J212" s="303">
        <v>77000</v>
      </c>
      <c r="K212" s="312">
        <f t="shared" si="47"/>
        <v>6900</v>
      </c>
      <c r="L212" s="301" t="s">
        <v>69</v>
      </c>
      <c r="M212" s="305">
        <f t="shared" si="60"/>
        <v>70100</v>
      </c>
      <c r="N212" s="316">
        <v>6900</v>
      </c>
      <c r="O212" s="306">
        <f t="shared" ref="O212:O246" si="61">M212+N212</f>
        <v>77000</v>
      </c>
      <c r="P212" s="294"/>
      <c r="Q212" s="292" t="s">
        <v>1215</v>
      </c>
      <c r="R212" s="22"/>
      <c r="S212" s="22">
        <f t="shared" si="50"/>
        <v>77000</v>
      </c>
      <c r="T212" s="22">
        <f t="shared" si="51"/>
        <v>110000</v>
      </c>
      <c r="U212" s="23">
        <f t="shared" si="52"/>
        <v>125714.28571428571</v>
      </c>
      <c r="V212" s="24">
        <f t="shared" si="53"/>
        <v>0.12499999999999997</v>
      </c>
      <c r="W212" s="23">
        <f t="shared" si="57"/>
        <v>125800</v>
      </c>
      <c r="X212" s="164">
        <f t="shared" si="54"/>
        <v>0.3</v>
      </c>
      <c r="Y212" s="188">
        <v>94429</v>
      </c>
      <c r="Z212" s="188">
        <f>T212-Y212</f>
        <v>15571</v>
      </c>
      <c r="AA212" s="189">
        <f>Z212/Y212</f>
        <v>0.16489637717226699</v>
      </c>
      <c r="AB212" s="34"/>
      <c r="AC212" s="164"/>
      <c r="AD212" s="35"/>
      <c r="AE212" s="36"/>
      <c r="AF212" s="29"/>
      <c r="AG212" s="29"/>
      <c r="AH212" s="30"/>
      <c r="AI212" s="172" t="s">
        <v>608</v>
      </c>
      <c r="AJ212" s="29"/>
      <c r="AK212" s="29"/>
      <c r="AL212" s="30"/>
      <c r="AM212" s="172" t="s">
        <v>608</v>
      </c>
      <c r="AN212" s="29"/>
      <c r="AO212" s="29"/>
      <c r="AP212" s="30"/>
      <c r="AQ212" s="172" t="s">
        <v>608</v>
      </c>
      <c r="AR212" s="29"/>
      <c r="AS212" s="29"/>
      <c r="AT212" s="30"/>
      <c r="AU212" s="172" t="s">
        <v>608</v>
      </c>
      <c r="AV212" s="29"/>
      <c r="AW212" s="29"/>
      <c r="AX212" s="30"/>
      <c r="AY212" s="55"/>
      <c r="AZ212" s="29"/>
      <c r="BA212" s="29"/>
      <c r="BB212" s="30"/>
      <c r="BC212" s="172" t="s">
        <v>751</v>
      </c>
      <c r="BD212" s="29"/>
      <c r="BE212" s="29"/>
      <c r="BF212" s="30"/>
      <c r="BG212" s="55"/>
      <c r="BH212" s="29"/>
      <c r="BI212" s="29"/>
      <c r="BJ212" s="30"/>
      <c r="BK212" s="172" t="s">
        <v>751</v>
      </c>
      <c r="BL212" s="29"/>
      <c r="BM212" s="29"/>
      <c r="BN212" s="30"/>
      <c r="BO212" s="55"/>
      <c r="BP212" s="29"/>
      <c r="BQ212" s="29"/>
      <c r="BR212" s="30"/>
      <c r="BS212" s="55"/>
      <c r="BT212" s="29"/>
      <c r="BU212" s="29"/>
      <c r="BV212" s="30"/>
      <c r="BW212" s="55"/>
      <c r="BX212" s="29"/>
      <c r="BY212" s="29"/>
      <c r="BZ212" s="30"/>
      <c r="CA212" s="31"/>
    </row>
    <row r="213" spans="1:79" hidden="1">
      <c r="B213" s="297"/>
      <c r="C213" s="307" t="s">
        <v>1023</v>
      </c>
      <c r="D213" s="299" t="str">
        <f t="shared" si="55"/>
        <v xml:space="preserve"> 645</v>
      </c>
      <c r="E213" s="308" t="s">
        <v>1023</v>
      </c>
      <c r="F213" s="301">
        <f t="shared" si="56"/>
        <v>0</v>
      </c>
      <c r="G213" s="302" t="s">
        <v>1063</v>
      </c>
      <c r="H213" s="302" t="s">
        <v>292</v>
      </c>
      <c r="I213" s="302" t="s">
        <v>1127</v>
      </c>
      <c r="J213" s="303">
        <v>88000</v>
      </c>
      <c r="K213" s="312">
        <f t="shared" si="47"/>
        <v>5900</v>
      </c>
      <c r="L213" s="301" t="s">
        <v>69</v>
      </c>
      <c r="M213" s="305">
        <f t="shared" si="60"/>
        <v>82100</v>
      </c>
      <c r="N213" s="316">
        <v>5900</v>
      </c>
      <c r="O213" s="306">
        <f t="shared" si="61"/>
        <v>88000</v>
      </c>
      <c r="P213" s="294"/>
      <c r="Q213" s="292" t="s">
        <v>1216</v>
      </c>
      <c r="R213" s="22"/>
      <c r="S213" s="22">
        <f t="shared" si="50"/>
        <v>88000</v>
      </c>
      <c r="T213" s="22">
        <f t="shared" si="51"/>
        <v>125714.28571428572</v>
      </c>
      <c r="U213" s="23">
        <f t="shared" si="52"/>
        <v>143673.46938775512</v>
      </c>
      <c r="V213" s="24">
        <f t="shared" si="53"/>
        <v>0.12500000000000003</v>
      </c>
      <c r="W213" s="23">
        <f t="shared" si="57"/>
        <v>143700</v>
      </c>
      <c r="X213" s="164">
        <f t="shared" si="54"/>
        <v>0.30000000000000004</v>
      </c>
      <c r="Y213" s="25"/>
      <c r="Z213" s="25"/>
      <c r="AA213" s="25"/>
      <c r="AB213" s="34"/>
      <c r="AC213" s="164"/>
      <c r="AD213" s="35"/>
      <c r="AE213" s="36"/>
      <c r="AF213" s="29"/>
      <c r="AG213" s="29"/>
      <c r="AH213" s="30"/>
      <c r="AI213" s="172" t="s">
        <v>608</v>
      </c>
      <c r="AJ213" s="29"/>
      <c r="AK213" s="29"/>
      <c r="AL213" s="30"/>
      <c r="AM213" s="172" t="s">
        <v>608</v>
      </c>
      <c r="AN213" s="29"/>
      <c r="AO213" s="29"/>
      <c r="AP213" s="30"/>
      <c r="AQ213" s="172" t="s">
        <v>608</v>
      </c>
      <c r="AR213" s="29"/>
      <c r="AS213" s="29"/>
      <c r="AT213" s="30"/>
      <c r="AU213" s="172" t="s">
        <v>608</v>
      </c>
      <c r="AV213" s="29"/>
      <c r="AW213" s="29"/>
      <c r="AX213" s="30"/>
      <c r="AY213" s="55"/>
      <c r="AZ213" s="29"/>
      <c r="BA213" s="29"/>
      <c r="BB213" s="30"/>
      <c r="BC213" s="172" t="s">
        <v>751</v>
      </c>
      <c r="BD213" s="29"/>
      <c r="BE213" s="29"/>
      <c r="BF213" s="30"/>
      <c r="BG213" s="55"/>
      <c r="BH213" s="29"/>
      <c r="BI213" s="29"/>
      <c r="BJ213" s="30"/>
      <c r="BK213" s="172" t="s">
        <v>751</v>
      </c>
      <c r="BL213" s="29"/>
      <c r="BM213" s="29"/>
      <c r="BN213" s="30"/>
      <c r="BO213" s="55"/>
      <c r="BP213" s="29"/>
      <c r="BQ213" s="29"/>
      <c r="BR213" s="30"/>
      <c r="BS213" s="55"/>
      <c r="BT213" s="29"/>
      <c r="BU213" s="29"/>
      <c r="BV213" s="30"/>
      <c r="BW213" s="55"/>
      <c r="BX213" s="29"/>
      <c r="BY213" s="29"/>
      <c r="BZ213" s="30"/>
      <c r="CA213" s="31"/>
    </row>
    <row r="214" spans="1:79" hidden="1">
      <c r="B214" s="297"/>
      <c r="C214" s="307" t="s">
        <v>1024</v>
      </c>
      <c r="D214" s="299" t="str">
        <f t="shared" si="55"/>
        <v xml:space="preserve"> 502</v>
      </c>
      <c r="E214" s="308" t="s">
        <v>1024</v>
      </c>
      <c r="F214" s="301">
        <f t="shared" si="56"/>
        <v>0</v>
      </c>
      <c r="G214" s="302" t="s">
        <v>1063</v>
      </c>
      <c r="H214" s="302" t="s">
        <v>1085</v>
      </c>
      <c r="I214" s="302" t="s">
        <v>1128</v>
      </c>
      <c r="J214" s="303">
        <v>82500</v>
      </c>
      <c r="K214" s="312">
        <f t="shared" si="47"/>
        <v>6450</v>
      </c>
      <c r="L214" s="301" t="s">
        <v>69</v>
      </c>
      <c r="M214" s="305">
        <f t="shared" si="60"/>
        <v>76050</v>
      </c>
      <c r="N214" s="316">
        <f>300+2000+200+350+600+3000</f>
        <v>6450</v>
      </c>
      <c r="O214" s="306">
        <f t="shared" si="61"/>
        <v>82500</v>
      </c>
      <c r="P214" s="294"/>
      <c r="Q214" s="292" t="s">
        <v>1217</v>
      </c>
      <c r="R214" s="22"/>
      <c r="S214" s="22">
        <f t="shared" si="50"/>
        <v>82500</v>
      </c>
      <c r="T214" s="22">
        <f t="shared" si="51"/>
        <v>117857.14285714287</v>
      </c>
      <c r="U214" s="23">
        <f t="shared" si="52"/>
        <v>134693.87755102041</v>
      </c>
      <c r="V214" s="24">
        <f t="shared" si="53"/>
        <v>0.12499999999999994</v>
      </c>
      <c r="W214" s="23">
        <f t="shared" si="57"/>
        <v>134700</v>
      </c>
      <c r="X214" s="164">
        <f t="shared" si="54"/>
        <v>0.3000000000000001</v>
      </c>
      <c r="Y214" s="25"/>
      <c r="Z214" s="25"/>
      <c r="AA214" s="25"/>
      <c r="AB214" s="34"/>
      <c r="AC214" s="164"/>
      <c r="AD214" s="35"/>
      <c r="AE214" s="36"/>
      <c r="AF214" s="29"/>
      <c r="AG214" s="29"/>
      <c r="AH214" s="30"/>
      <c r="AI214" s="172" t="s">
        <v>608</v>
      </c>
      <c r="AJ214" s="29"/>
      <c r="AK214" s="29"/>
      <c r="AL214" s="30"/>
      <c r="AM214" s="172" t="s">
        <v>608</v>
      </c>
      <c r="AN214" s="29"/>
      <c r="AO214" s="29"/>
      <c r="AP214" s="30"/>
      <c r="AQ214" s="172" t="s">
        <v>608</v>
      </c>
      <c r="AR214" s="29"/>
      <c r="AS214" s="29"/>
      <c r="AT214" s="30"/>
      <c r="AU214" s="172" t="s">
        <v>608</v>
      </c>
      <c r="AV214" s="29"/>
      <c r="AW214" s="29"/>
      <c r="AX214" s="30"/>
      <c r="AY214" s="55"/>
      <c r="AZ214" s="29"/>
      <c r="BA214" s="29"/>
      <c r="BB214" s="30"/>
      <c r="BC214" s="172" t="s">
        <v>751</v>
      </c>
      <c r="BD214" s="29"/>
      <c r="BE214" s="29"/>
      <c r="BF214" s="30"/>
      <c r="BG214" s="55"/>
      <c r="BH214" s="29"/>
      <c r="BI214" s="29"/>
      <c r="BJ214" s="30"/>
      <c r="BK214" s="172" t="s">
        <v>751</v>
      </c>
      <c r="BL214" s="29"/>
      <c r="BM214" s="29"/>
      <c r="BN214" s="30"/>
      <c r="BO214" s="55"/>
      <c r="BP214" s="29"/>
      <c r="BQ214" s="29"/>
      <c r="BR214" s="30"/>
      <c r="BS214" s="55"/>
      <c r="BT214" s="29"/>
      <c r="BU214" s="29"/>
      <c r="BV214" s="30"/>
      <c r="BW214" s="55"/>
      <c r="BX214" s="29"/>
      <c r="BY214" s="29"/>
      <c r="BZ214" s="30"/>
      <c r="CA214" s="31"/>
    </row>
    <row r="215" spans="1:79" hidden="1">
      <c r="B215" s="297"/>
      <c r="C215" s="307" t="s">
        <v>1025</v>
      </c>
      <c r="D215" s="299" t="str">
        <f t="shared" si="55"/>
        <v xml:space="preserve"> 227</v>
      </c>
      <c r="E215" s="308" t="s">
        <v>1025</v>
      </c>
      <c r="F215" s="301">
        <f t="shared" si="56"/>
        <v>0</v>
      </c>
      <c r="G215" s="302" t="s">
        <v>1063</v>
      </c>
      <c r="H215" s="302" t="s">
        <v>250</v>
      </c>
      <c r="I215" s="302" t="s">
        <v>1128</v>
      </c>
      <c r="J215" s="303">
        <v>125000</v>
      </c>
      <c r="K215" s="312">
        <f t="shared" si="47"/>
        <v>6450</v>
      </c>
      <c r="L215" s="301" t="s">
        <v>69</v>
      </c>
      <c r="M215" s="305">
        <f t="shared" si="60"/>
        <v>118550</v>
      </c>
      <c r="N215" s="316">
        <f>300+2000+200+350+600+3000</f>
        <v>6450</v>
      </c>
      <c r="O215" s="306">
        <f t="shared" si="61"/>
        <v>125000</v>
      </c>
      <c r="P215" s="294"/>
      <c r="Q215" s="292" t="s">
        <v>1217</v>
      </c>
      <c r="R215" s="22"/>
      <c r="S215" s="22">
        <f t="shared" si="50"/>
        <v>125000</v>
      </c>
      <c r="T215" s="22">
        <f t="shared" si="51"/>
        <v>178571.42857142858</v>
      </c>
      <c r="U215" s="23">
        <f t="shared" si="52"/>
        <v>204081.63265306124</v>
      </c>
      <c r="V215" s="24">
        <f t="shared" si="53"/>
        <v>0.12500000000000003</v>
      </c>
      <c r="W215" s="23">
        <f t="shared" si="57"/>
        <v>204100</v>
      </c>
      <c r="X215" s="164">
        <f t="shared" si="54"/>
        <v>0.30000000000000004</v>
      </c>
      <c r="Y215" s="188">
        <v>118571</v>
      </c>
      <c r="Z215" s="188">
        <f>T215-Y215</f>
        <v>60000.42857142858</v>
      </c>
      <c r="AA215" s="189">
        <f>Z215/Y215</f>
        <v>0.50602953986580679</v>
      </c>
      <c r="AB215" s="26"/>
      <c r="AC215" s="164"/>
      <c r="AD215" s="35"/>
      <c r="AE215" s="36"/>
      <c r="AF215" s="29"/>
      <c r="AG215" s="29"/>
      <c r="AH215" s="30"/>
      <c r="AI215" s="172" t="s">
        <v>608</v>
      </c>
      <c r="AJ215" s="29"/>
      <c r="AK215" s="29"/>
      <c r="AL215" s="30"/>
      <c r="AM215" s="172" t="s">
        <v>608</v>
      </c>
      <c r="AN215" s="29"/>
      <c r="AO215" s="29"/>
      <c r="AP215" s="30"/>
      <c r="AQ215" s="172" t="s">
        <v>608</v>
      </c>
      <c r="AR215" s="29"/>
      <c r="AS215" s="29"/>
      <c r="AT215" s="30"/>
      <c r="AU215" s="172" t="s">
        <v>608</v>
      </c>
      <c r="AV215" s="29"/>
      <c r="AW215" s="29"/>
      <c r="AX215" s="30"/>
      <c r="AY215" s="55"/>
      <c r="AZ215" s="29"/>
      <c r="BA215" s="29"/>
      <c r="BB215" s="30"/>
      <c r="BC215" s="172" t="s">
        <v>751</v>
      </c>
      <c r="BD215" s="29"/>
      <c r="BE215" s="29"/>
      <c r="BF215" s="30"/>
      <c r="BG215" s="55"/>
      <c r="BH215" s="29"/>
      <c r="BI215" s="29"/>
      <c r="BJ215" s="30"/>
      <c r="BK215" s="172" t="s">
        <v>751</v>
      </c>
      <c r="BL215" s="29"/>
      <c r="BM215" s="29"/>
      <c r="BN215" s="30"/>
      <c r="BO215" s="55"/>
      <c r="BP215" s="29"/>
      <c r="BQ215" s="29"/>
      <c r="BR215" s="30"/>
      <c r="BS215" s="55"/>
      <c r="BT215" s="29"/>
      <c r="BU215" s="29"/>
      <c r="BV215" s="30"/>
      <c r="BW215" s="55"/>
      <c r="BX215" s="29"/>
      <c r="BY215" s="29"/>
      <c r="BZ215" s="30"/>
      <c r="CA215" s="31"/>
    </row>
    <row r="216" spans="1:79" hidden="1">
      <c r="B216" s="297"/>
      <c r="C216" s="307" t="s">
        <v>1244</v>
      </c>
      <c r="D216" s="299" t="str">
        <f t="shared" si="55"/>
        <v xml:space="preserve"> 984</v>
      </c>
      <c r="E216" s="309" t="s">
        <v>1244</v>
      </c>
      <c r="F216" s="301">
        <f t="shared" si="56"/>
        <v>0</v>
      </c>
      <c r="G216" s="302" t="s">
        <v>1063</v>
      </c>
      <c r="H216" s="302" t="s">
        <v>1080</v>
      </c>
      <c r="I216" s="302" t="s">
        <v>1128</v>
      </c>
      <c r="J216" s="303"/>
      <c r="K216" s="312"/>
      <c r="L216" s="301"/>
      <c r="M216" s="305"/>
      <c r="N216" s="316"/>
      <c r="O216" s="306"/>
      <c r="P216" s="294"/>
      <c r="Q216" s="292"/>
      <c r="R216" s="22"/>
      <c r="S216" s="22"/>
      <c r="T216" s="22"/>
      <c r="U216" s="23"/>
      <c r="V216" s="24"/>
      <c r="W216" s="23"/>
      <c r="X216" s="164"/>
      <c r="Y216" s="188"/>
      <c r="Z216" s="188"/>
      <c r="AA216" s="189"/>
      <c r="AB216" s="26"/>
      <c r="AC216" s="164"/>
      <c r="AD216" s="35"/>
      <c r="AE216" s="36"/>
      <c r="AF216" s="29"/>
      <c r="AG216" s="29"/>
      <c r="AH216" s="30"/>
      <c r="AI216" s="172"/>
      <c r="AJ216" s="29"/>
      <c r="AK216" s="29"/>
      <c r="AL216" s="30"/>
      <c r="AM216" s="172"/>
      <c r="AN216" s="29"/>
      <c r="AO216" s="29"/>
      <c r="AP216" s="30"/>
      <c r="AQ216" s="172"/>
      <c r="AR216" s="29"/>
      <c r="AS216" s="29"/>
      <c r="AT216" s="30"/>
      <c r="AU216" s="172"/>
      <c r="AV216" s="29"/>
      <c r="AW216" s="29"/>
      <c r="AX216" s="30"/>
      <c r="AY216" s="55"/>
      <c r="AZ216" s="29"/>
      <c r="BA216" s="29"/>
      <c r="BB216" s="30"/>
      <c r="BC216" s="172"/>
      <c r="BD216" s="29"/>
      <c r="BE216" s="29"/>
      <c r="BF216" s="30"/>
      <c r="BG216" s="55"/>
      <c r="BH216" s="29"/>
      <c r="BI216" s="29"/>
      <c r="BJ216" s="30"/>
      <c r="BK216" s="172"/>
      <c r="BL216" s="29"/>
      <c r="BM216" s="29"/>
      <c r="BN216" s="30"/>
      <c r="BO216" s="55"/>
      <c r="BP216" s="29"/>
      <c r="BQ216" s="29"/>
      <c r="BR216" s="30"/>
      <c r="BS216" s="55"/>
      <c r="BT216" s="29"/>
      <c r="BU216" s="29"/>
      <c r="BV216" s="30"/>
      <c r="BW216" s="55"/>
      <c r="BX216" s="29"/>
      <c r="BY216" s="29"/>
      <c r="BZ216" s="30"/>
      <c r="CA216" s="31"/>
    </row>
    <row r="217" spans="1:79" hidden="1">
      <c r="A217" s="71" t="s">
        <v>1242</v>
      </c>
      <c r="B217" s="297"/>
      <c r="C217" s="307" t="s">
        <v>1026</v>
      </c>
      <c r="D217" s="299" t="str">
        <f t="shared" si="55"/>
        <v xml:space="preserve"> 193</v>
      </c>
      <c r="E217" s="308" t="s">
        <v>1026</v>
      </c>
      <c r="F217" s="301">
        <f t="shared" si="56"/>
        <v>0</v>
      </c>
      <c r="G217" s="302" t="s">
        <v>1063</v>
      </c>
      <c r="H217" s="302" t="s">
        <v>292</v>
      </c>
      <c r="I217" s="302" t="s">
        <v>1129</v>
      </c>
      <c r="J217" s="303">
        <v>87000</v>
      </c>
      <c r="K217" s="312">
        <f t="shared" si="47"/>
        <v>6900</v>
      </c>
      <c r="L217" s="301" t="s">
        <v>69</v>
      </c>
      <c r="M217" s="305">
        <f t="shared" si="60"/>
        <v>80100</v>
      </c>
      <c r="N217" s="316">
        <v>6900</v>
      </c>
      <c r="O217" s="306">
        <f t="shared" si="61"/>
        <v>87000</v>
      </c>
      <c r="P217" s="294"/>
      <c r="Q217" s="292" t="s">
        <v>1215</v>
      </c>
      <c r="R217" s="22"/>
      <c r="S217" s="22">
        <f t="shared" si="50"/>
        <v>87000</v>
      </c>
      <c r="T217" s="22">
        <f t="shared" si="51"/>
        <v>124285.71428571429</v>
      </c>
      <c r="U217" s="23">
        <f t="shared" si="52"/>
        <v>142040.81632653062</v>
      </c>
      <c r="V217" s="24">
        <f t="shared" si="53"/>
        <v>0.12500000000000003</v>
      </c>
      <c r="W217" s="23">
        <f t="shared" si="57"/>
        <v>142100</v>
      </c>
      <c r="X217" s="164">
        <f t="shared" si="54"/>
        <v>0.30000000000000004</v>
      </c>
      <c r="Y217" s="25"/>
      <c r="Z217" s="25"/>
      <c r="AA217" s="37"/>
      <c r="AB217" s="26"/>
      <c r="AC217" s="164"/>
      <c r="AD217" s="35"/>
      <c r="AE217" s="36"/>
      <c r="AF217" s="29"/>
      <c r="AG217" s="29"/>
      <c r="AH217" s="30"/>
      <c r="AI217" s="172" t="s">
        <v>608</v>
      </c>
      <c r="AJ217" s="29"/>
      <c r="AK217" s="29"/>
      <c r="AL217" s="30"/>
      <c r="AM217" s="172" t="s">
        <v>608</v>
      </c>
      <c r="AN217" s="29"/>
      <c r="AO217" s="29"/>
      <c r="AP217" s="30"/>
      <c r="AQ217" s="172" t="s">
        <v>608</v>
      </c>
      <c r="AR217" s="29"/>
      <c r="AS217" s="29"/>
      <c r="AT217" s="30"/>
      <c r="AU217" s="172" t="s">
        <v>608</v>
      </c>
      <c r="AV217" s="29"/>
      <c r="AW217" s="29"/>
      <c r="AX217" s="30"/>
      <c r="AY217" s="55"/>
      <c r="AZ217" s="29"/>
      <c r="BA217" s="29"/>
      <c r="BB217" s="30"/>
      <c r="BC217" s="172" t="s">
        <v>751</v>
      </c>
      <c r="BD217" s="29"/>
      <c r="BE217" s="29"/>
      <c r="BF217" s="30"/>
      <c r="BG217" s="55"/>
      <c r="BH217" s="29"/>
      <c r="BI217" s="29"/>
      <c r="BJ217" s="30"/>
      <c r="BK217" s="172" t="s">
        <v>751</v>
      </c>
      <c r="BL217" s="29"/>
      <c r="BM217" s="29"/>
      <c r="BN217" s="30"/>
      <c r="BO217" s="55"/>
      <c r="BP217" s="29"/>
      <c r="BQ217" s="29"/>
      <c r="BR217" s="30"/>
      <c r="BS217" s="55"/>
      <c r="BT217" s="29"/>
      <c r="BU217" s="29"/>
      <c r="BV217" s="30"/>
      <c r="BW217" s="55"/>
      <c r="BX217" s="29"/>
      <c r="BY217" s="29"/>
      <c r="BZ217" s="30"/>
      <c r="CA217" s="31"/>
    </row>
    <row r="218" spans="1:79" hidden="1">
      <c r="A218" s="71" t="s">
        <v>1242</v>
      </c>
      <c r="B218" s="297"/>
      <c r="C218" s="307" t="s">
        <v>1027</v>
      </c>
      <c r="D218" s="299" t="str">
        <f t="shared" si="55"/>
        <v xml:space="preserve"> 739</v>
      </c>
      <c r="E218" s="308" t="s">
        <v>1027</v>
      </c>
      <c r="F218" s="301">
        <f t="shared" si="56"/>
        <v>0</v>
      </c>
      <c r="G218" s="302" t="s">
        <v>1063</v>
      </c>
      <c r="H218" s="302" t="s">
        <v>292</v>
      </c>
      <c r="I218" s="302" t="s">
        <v>1129</v>
      </c>
      <c r="J218" s="303">
        <v>81000</v>
      </c>
      <c r="K218" s="312">
        <f t="shared" si="47"/>
        <v>6900</v>
      </c>
      <c r="L218" s="301" t="s">
        <v>69</v>
      </c>
      <c r="M218" s="305">
        <f t="shared" si="60"/>
        <v>74100</v>
      </c>
      <c r="N218" s="316">
        <f>2000+300+600+1000+3000</f>
        <v>6900</v>
      </c>
      <c r="O218" s="306">
        <f t="shared" si="61"/>
        <v>81000</v>
      </c>
      <c r="P218" s="294"/>
      <c r="Q218" s="292" t="s">
        <v>1215</v>
      </c>
      <c r="R218" s="22"/>
      <c r="S218" s="22">
        <f t="shared" si="50"/>
        <v>81000</v>
      </c>
      <c r="T218" s="22">
        <f t="shared" si="51"/>
        <v>115714.28571428572</v>
      </c>
      <c r="U218" s="23">
        <f t="shared" si="52"/>
        <v>132244.8979591837</v>
      </c>
      <c r="V218" s="24">
        <f t="shared" si="53"/>
        <v>0.12500000000000008</v>
      </c>
      <c r="W218" s="23">
        <f t="shared" si="57"/>
        <v>132300</v>
      </c>
      <c r="X218" s="164">
        <f t="shared" si="54"/>
        <v>0.30000000000000004</v>
      </c>
      <c r="Y218" s="25"/>
      <c r="Z218" s="25"/>
      <c r="AA218" s="25"/>
      <c r="AB218" s="34"/>
      <c r="AC218" s="164">
        <f>X218</f>
        <v>0.30000000000000004</v>
      </c>
      <c r="AD218" s="46">
        <f>T218</f>
        <v>115714.28571428572</v>
      </c>
      <c r="AE218" s="28">
        <f>AVERAGE(AI218,AM218,AQ218,AU218,BC218,BK218,BO218,BS218,BW218)</f>
        <v>116417.09523809524</v>
      </c>
      <c r="AF218" s="180">
        <v>106571.42857142858</v>
      </c>
      <c r="AG218" s="181">
        <v>99286</v>
      </c>
      <c r="AH218" s="21">
        <f>(AD218-AF218)/AF218</f>
        <v>8.5790884718498675E-2</v>
      </c>
      <c r="AI218" s="55"/>
      <c r="AJ218" s="29"/>
      <c r="AK218" s="180">
        <v>74800</v>
      </c>
      <c r="AL218" s="30"/>
      <c r="AM218" s="44">
        <f>81830.3333333333/0.7</f>
        <v>116900.47619047615</v>
      </c>
      <c r="AN218" s="180">
        <f>79182/0.7</f>
        <v>113117.14285714287</v>
      </c>
      <c r="AO218" s="180">
        <v>106879</v>
      </c>
      <c r="AP218" s="21">
        <f>(AM218-AN218)/AN218</f>
        <v>3.3446153587094275E-2</v>
      </c>
      <c r="AQ218" s="59">
        <v>103650</v>
      </c>
      <c r="AR218" s="180">
        <f>70245/0.7</f>
        <v>100350</v>
      </c>
      <c r="AS218" s="180">
        <v>100350</v>
      </c>
      <c r="AT218" s="21">
        <f>(AQ218-AR218)/AR218</f>
        <v>3.2884902840059793E-2</v>
      </c>
      <c r="AU218" s="59">
        <v>100170</v>
      </c>
      <c r="AV218" s="180">
        <f>68775/0.7</f>
        <v>98250</v>
      </c>
      <c r="AW218" s="29"/>
      <c r="AX218" s="21">
        <f>(AU218-AV218)/AV218</f>
        <v>1.9541984732824428E-2</v>
      </c>
      <c r="AY218" s="55"/>
      <c r="AZ218" s="29"/>
      <c r="BA218" s="29"/>
      <c r="BB218" s="30"/>
      <c r="BC218" s="44">
        <v>131166</v>
      </c>
      <c r="BD218" s="180">
        <v>109566</v>
      </c>
      <c r="BE218" s="180">
        <v>111006</v>
      </c>
      <c r="BF218" s="21">
        <f>(BC218-BD218)/BD218</f>
        <v>0.19714144898965008</v>
      </c>
      <c r="BG218" s="57"/>
      <c r="BH218" s="29"/>
      <c r="BI218" s="29"/>
      <c r="BJ218" s="30"/>
      <c r="BK218" s="44">
        <v>130199</v>
      </c>
      <c r="BL218" s="180">
        <f>84933/0.7</f>
        <v>121332.85714285714</v>
      </c>
      <c r="BM218" s="180">
        <v>114000</v>
      </c>
      <c r="BN218" s="21">
        <f>(BK218-BL218)/BL218</f>
        <v>7.3072892750756457E-2</v>
      </c>
      <c r="BO218" s="57"/>
      <c r="BP218" s="29"/>
      <c r="BQ218" s="29"/>
      <c r="BR218" s="30"/>
      <c r="BS218" s="55"/>
      <c r="BT218" s="29"/>
      <c r="BU218" s="29"/>
      <c r="BV218" s="30"/>
      <c r="BW218" s="55"/>
      <c r="BX218" s="29"/>
      <c r="BY218" s="29"/>
      <c r="BZ218" s="30"/>
      <c r="CA218" s="31"/>
    </row>
    <row r="219" spans="1:79" hidden="1">
      <c r="A219" s="71" t="s">
        <v>1242</v>
      </c>
      <c r="B219" s="297"/>
      <c r="C219" s="307" t="s">
        <v>1028</v>
      </c>
      <c r="D219" s="299" t="str">
        <f t="shared" si="55"/>
        <v xml:space="preserve"> 480</v>
      </c>
      <c r="E219" s="308" t="s">
        <v>1028</v>
      </c>
      <c r="F219" s="301">
        <f t="shared" si="56"/>
        <v>0</v>
      </c>
      <c r="G219" s="302" t="s">
        <v>1063</v>
      </c>
      <c r="H219" s="302" t="s">
        <v>1073</v>
      </c>
      <c r="I219" s="302" t="s">
        <v>1129</v>
      </c>
      <c r="J219" s="303">
        <v>81000</v>
      </c>
      <c r="K219" s="312">
        <f t="shared" si="47"/>
        <v>7500</v>
      </c>
      <c r="L219" s="301" t="s">
        <v>69</v>
      </c>
      <c r="M219" s="305">
        <f t="shared" si="60"/>
        <v>73500</v>
      </c>
      <c r="N219" s="316">
        <f>2000+300+600+1000+3600</f>
        <v>7500</v>
      </c>
      <c r="O219" s="306">
        <f t="shared" si="61"/>
        <v>81000</v>
      </c>
      <c r="P219" s="294"/>
      <c r="Q219" s="292" t="s">
        <v>1218</v>
      </c>
      <c r="R219" s="22"/>
      <c r="S219" s="22">
        <f t="shared" si="50"/>
        <v>81000</v>
      </c>
      <c r="T219" s="22">
        <f t="shared" si="51"/>
        <v>115714.28571428572</v>
      </c>
      <c r="U219" s="23">
        <f t="shared" si="52"/>
        <v>132244.8979591837</v>
      </c>
      <c r="V219" s="24">
        <f t="shared" si="53"/>
        <v>0.12500000000000008</v>
      </c>
      <c r="W219" s="23">
        <f t="shared" si="57"/>
        <v>132300</v>
      </c>
      <c r="X219" s="164">
        <f t="shared" si="54"/>
        <v>0.30000000000000004</v>
      </c>
      <c r="Y219" s="25"/>
      <c r="Z219" s="25"/>
      <c r="AA219" s="25"/>
      <c r="AB219" s="34"/>
      <c r="AC219" s="164"/>
      <c r="AD219" s="35"/>
      <c r="AE219" s="36"/>
      <c r="AF219" s="29"/>
      <c r="AG219" s="29"/>
      <c r="AH219" s="30"/>
      <c r="AI219" s="172" t="s">
        <v>608</v>
      </c>
      <c r="AJ219" s="29"/>
      <c r="AK219" s="29"/>
      <c r="AL219" s="30"/>
      <c r="AM219" s="172" t="s">
        <v>608</v>
      </c>
      <c r="AN219" s="29"/>
      <c r="AO219" s="29"/>
      <c r="AP219" s="30"/>
      <c r="AQ219" s="172" t="s">
        <v>608</v>
      </c>
      <c r="AR219" s="29"/>
      <c r="AS219" s="29"/>
      <c r="AT219" s="30"/>
      <c r="AU219" s="172" t="s">
        <v>608</v>
      </c>
      <c r="AV219" s="29"/>
      <c r="AW219" s="29"/>
      <c r="AX219" s="30"/>
      <c r="AY219" s="55"/>
      <c r="AZ219" s="29"/>
      <c r="BA219" s="29"/>
      <c r="BB219" s="30"/>
      <c r="BC219" s="172" t="s">
        <v>751</v>
      </c>
      <c r="BD219" s="29"/>
      <c r="BE219" s="29"/>
      <c r="BF219" s="30"/>
      <c r="BG219" s="55"/>
      <c r="BH219" s="29"/>
      <c r="BI219" s="29"/>
      <c r="BJ219" s="30"/>
      <c r="BK219" s="172" t="s">
        <v>751</v>
      </c>
      <c r="BL219" s="29"/>
      <c r="BM219" s="29"/>
      <c r="BN219" s="30"/>
      <c r="BO219" s="55"/>
      <c r="BP219" s="29"/>
      <c r="BQ219" s="29"/>
      <c r="BR219" s="30"/>
      <c r="BS219" s="55"/>
      <c r="BT219" s="29"/>
      <c r="BU219" s="29"/>
      <c r="BV219" s="30"/>
      <c r="BW219" s="55"/>
      <c r="BX219" s="29"/>
      <c r="BY219" s="29"/>
      <c r="BZ219" s="30"/>
      <c r="CA219" s="31"/>
    </row>
    <row r="220" spans="1:79" hidden="1">
      <c r="A220" s="71" t="s">
        <v>1242</v>
      </c>
      <c r="B220" s="297"/>
      <c r="C220" s="307" t="s">
        <v>1029</v>
      </c>
      <c r="D220" s="299" t="str">
        <f t="shared" si="55"/>
        <v xml:space="preserve"> 288</v>
      </c>
      <c r="E220" s="308" t="s">
        <v>1029</v>
      </c>
      <c r="F220" s="301">
        <f t="shared" si="56"/>
        <v>0</v>
      </c>
      <c r="G220" s="302" t="s">
        <v>1063</v>
      </c>
      <c r="H220" s="302" t="s">
        <v>292</v>
      </c>
      <c r="I220" s="302" t="s">
        <v>1129</v>
      </c>
      <c r="J220" s="303">
        <v>84000</v>
      </c>
      <c r="K220" s="312">
        <f t="shared" si="47"/>
        <v>7150</v>
      </c>
      <c r="L220" s="301" t="s">
        <v>69</v>
      </c>
      <c r="M220" s="305">
        <f t="shared" si="60"/>
        <v>76850</v>
      </c>
      <c r="N220" s="316">
        <f>2000+300+600+650+3600</f>
        <v>7150</v>
      </c>
      <c r="O220" s="306">
        <f t="shared" si="61"/>
        <v>84000</v>
      </c>
      <c r="P220" s="294"/>
      <c r="Q220" s="292" t="s">
        <v>1218</v>
      </c>
      <c r="R220" s="22"/>
      <c r="S220" s="22">
        <f t="shared" si="50"/>
        <v>84000</v>
      </c>
      <c r="T220" s="22">
        <f t="shared" si="51"/>
        <v>120000.00000000001</v>
      </c>
      <c r="U220" s="23">
        <f t="shared" si="52"/>
        <v>137142.85714285716</v>
      </c>
      <c r="V220" s="24">
        <f t="shared" si="53"/>
        <v>0.125</v>
      </c>
      <c r="W220" s="23">
        <f t="shared" si="57"/>
        <v>137200</v>
      </c>
      <c r="X220" s="164">
        <f t="shared" si="54"/>
        <v>0.3000000000000001</v>
      </c>
      <c r="Y220" s="25"/>
      <c r="Z220" s="25"/>
      <c r="AA220" s="25"/>
      <c r="AB220" s="34"/>
      <c r="AC220" s="164"/>
      <c r="AD220" s="35"/>
      <c r="AE220" s="36"/>
      <c r="AF220" s="29"/>
      <c r="AG220" s="29"/>
      <c r="AH220" s="30"/>
      <c r="AI220" s="172" t="s">
        <v>608</v>
      </c>
      <c r="AJ220" s="29"/>
      <c r="AK220" s="29"/>
      <c r="AL220" s="30"/>
      <c r="AM220" s="172" t="s">
        <v>608</v>
      </c>
      <c r="AN220" s="29"/>
      <c r="AO220" s="29"/>
      <c r="AP220" s="30"/>
      <c r="AQ220" s="172" t="s">
        <v>608</v>
      </c>
      <c r="AR220" s="29"/>
      <c r="AS220" s="29"/>
      <c r="AT220" s="30"/>
      <c r="AU220" s="172" t="s">
        <v>608</v>
      </c>
      <c r="AV220" s="29"/>
      <c r="AW220" s="29"/>
      <c r="AX220" s="30"/>
      <c r="AY220" s="55"/>
      <c r="AZ220" s="29"/>
      <c r="BA220" s="29"/>
      <c r="BB220" s="30"/>
      <c r="BC220" s="172" t="s">
        <v>751</v>
      </c>
      <c r="BD220" s="29"/>
      <c r="BE220" s="29"/>
      <c r="BF220" s="30"/>
      <c r="BG220" s="55"/>
      <c r="BH220" s="29"/>
      <c r="BI220" s="29"/>
      <c r="BJ220" s="30"/>
      <c r="BK220" s="172" t="s">
        <v>751</v>
      </c>
      <c r="BL220" s="29"/>
      <c r="BM220" s="29"/>
      <c r="BN220" s="30"/>
      <c r="BO220" s="55"/>
      <c r="BP220" s="29"/>
      <c r="BQ220" s="29"/>
      <c r="BR220" s="30"/>
      <c r="BS220" s="55"/>
      <c r="BT220" s="29"/>
      <c r="BU220" s="29"/>
      <c r="BV220" s="30"/>
      <c r="BW220" s="55"/>
      <c r="BX220" s="29"/>
      <c r="BY220" s="29"/>
      <c r="BZ220" s="30"/>
      <c r="CA220" s="31"/>
    </row>
    <row r="221" spans="1:79" hidden="1">
      <c r="A221" s="71" t="s">
        <v>1242</v>
      </c>
      <c r="B221" s="297"/>
      <c r="C221" s="307" t="s">
        <v>1030</v>
      </c>
      <c r="D221" s="299" t="str">
        <f t="shared" si="55"/>
        <v xml:space="preserve"> 203</v>
      </c>
      <c r="E221" s="308" t="s">
        <v>1030</v>
      </c>
      <c r="F221" s="301">
        <f t="shared" si="56"/>
        <v>0</v>
      </c>
      <c r="G221" s="302" t="s">
        <v>1063</v>
      </c>
      <c r="H221" s="302" t="s">
        <v>292</v>
      </c>
      <c r="I221" s="302" t="s">
        <v>1129</v>
      </c>
      <c r="J221" s="303">
        <v>79000</v>
      </c>
      <c r="K221" s="312">
        <f t="shared" si="47"/>
        <v>7150</v>
      </c>
      <c r="L221" s="301" t="s">
        <v>69</v>
      </c>
      <c r="M221" s="305">
        <f t="shared" si="60"/>
        <v>71850</v>
      </c>
      <c r="N221" s="316">
        <f>2000+300+600+650+3600</f>
        <v>7150</v>
      </c>
      <c r="O221" s="306">
        <f t="shared" si="61"/>
        <v>79000</v>
      </c>
      <c r="P221" s="294"/>
      <c r="Q221" s="292" t="s">
        <v>1218</v>
      </c>
      <c r="R221" s="22"/>
      <c r="S221" s="22">
        <f t="shared" si="50"/>
        <v>79000</v>
      </c>
      <c r="T221" s="22">
        <f t="shared" si="51"/>
        <v>112857.14285714287</v>
      </c>
      <c r="U221" s="23">
        <f t="shared" si="52"/>
        <v>128979.5918367347</v>
      </c>
      <c r="V221" s="24">
        <f t="shared" si="53"/>
        <v>0.12499999999999997</v>
      </c>
      <c r="W221" s="23">
        <f t="shared" si="57"/>
        <v>129000</v>
      </c>
      <c r="X221" s="164">
        <f t="shared" si="54"/>
        <v>0.3000000000000001</v>
      </c>
      <c r="Y221" s="25"/>
      <c r="Z221" s="25"/>
      <c r="AA221" s="25"/>
      <c r="AB221" s="34"/>
      <c r="AC221" s="164"/>
      <c r="AD221" s="35"/>
      <c r="AE221" s="36"/>
      <c r="AF221" s="29"/>
      <c r="AG221" s="29"/>
      <c r="AH221" s="30"/>
      <c r="AI221" s="172" t="s">
        <v>608</v>
      </c>
      <c r="AJ221" s="29"/>
      <c r="AK221" s="29"/>
      <c r="AL221" s="30"/>
      <c r="AM221" s="172" t="s">
        <v>608</v>
      </c>
      <c r="AN221" s="29"/>
      <c r="AO221" s="29"/>
      <c r="AP221" s="30"/>
      <c r="AQ221" s="172" t="s">
        <v>608</v>
      </c>
      <c r="AR221" s="29"/>
      <c r="AS221" s="29"/>
      <c r="AT221" s="30"/>
      <c r="AU221" s="172" t="s">
        <v>608</v>
      </c>
      <c r="AV221" s="29"/>
      <c r="AW221" s="29"/>
      <c r="AX221" s="30"/>
      <c r="AY221" s="55"/>
      <c r="AZ221" s="29"/>
      <c r="BA221" s="29"/>
      <c r="BB221" s="30"/>
      <c r="BC221" s="172" t="s">
        <v>751</v>
      </c>
      <c r="BD221" s="29"/>
      <c r="BE221" s="29"/>
      <c r="BF221" s="30"/>
      <c r="BG221" s="55"/>
      <c r="BH221" s="29"/>
      <c r="BI221" s="29"/>
      <c r="BJ221" s="30"/>
      <c r="BK221" s="172" t="s">
        <v>751</v>
      </c>
      <c r="BL221" s="29"/>
      <c r="BM221" s="29"/>
      <c r="BN221" s="30"/>
      <c r="BO221" s="55"/>
      <c r="BP221" s="29"/>
      <c r="BQ221" s="29"/>
      <c r="BR221" s="30"/>
      <c r="BS221" s="55"/>
      <c r="BT221" s="29"/>
      <c r="BU221" s="29"/>
      <c r="BV221" s="30"/>
      <c r="BW221" s="55"/>
      <c r="BX221" s="29"/>
      <c r="BY221" s="29"/>
      <c r="BZ221" s="30"/>
      <c r="CA221" s="31"/>
    </row>
    <row r="222" spans="1:79" hidden="1">
      <c r="A222" s="71" t="s">
        <v>1242</v>
      </c>
      <c r="B222" s="297"/>
      <c r="C222" s="307" t="s">
        <v>1031</v>
      </c>
      <c r="D222" s="299" t="str">
        <f t="shared" si="55"/>
        <v xml:space="preserve"> 620</v>
      </c>
      <c r="E222" s="308" t="s">
        <v>1031</v>
      </c>
      <c r="F222" s="301">
        <f t="shared" si="56"/>
        <v>0</v>
      </c>
      <c r="G222" s="302" t="s">
        <v>1063</v>
      </c>
      <c r="H222" s="302" t="s">
        <v>292</v>
      </c>
      <c r="I222" s="302" t="s">
        <v>1129</v>
      </c>
      <c r="J222" s="303">
        <v>81000</v>
      </c>
      <c r="K222" s="312">
        <f t="shared" si="47"/>
        <v>7500</v>
      </c>
      <c r="L222" s="301" t="s">
        <v>69</v>
      </c>
      <c r="M222" s="305">
        <f t="shared" si="60"/>
        <v>73500</v>
      </c>
      <c r="N222" s="316">
        <f>2000+300+600+1000+3600</f>
        <v>7500</v>
      </c>
      <c r="O222" s="306">
        <f t="shared" si="61"/>
        <v>81000</v>
      </c>
      <c r="P222" s="295"/>
      <c r="Q222" s="292" t="s">
        <v>1210</v>
      </c>
      <c r="R222" s="22"/>
      <c r="S222" s="22">
        <f t="shared" si="50"/>
        <v>81000</v>
      </c>
      <c r="T222" s="22">
        <f t="shared" si="51"/>
        <v>115714.28571428572</v>
      </c>
      <c r="U222" s="23">
        <f t="shared" si="52"/>
        <v>132244.8979591837</v>
      </c>
      <c r="V222" s="24">
        <f t="shared" si="53"/>
        <v>0.12500000000000008</v>
      </c>
      <c r="W222" s="23">
        <f t="shared" si="57"/>
        <v>132300</v>
      </c>
      <c r="X222" s="164">
        <f t="shared" si="54"/>
        <v>0.30000000000000004</v>
      </c>
      <c r="Y222" s="25"/>
      <c r="Z222" s="25"/>
      <c r="AA222" s="37"/>
      <c r="AB222" s="26"/>
      <c r="AC222" s="164"/>
      <c r="AD222" s="35"/>
      <c r="AE222" s="36"/>
      <c r="AF222" s="29"/>
      <c r="AG222" s="29"/>
      <c r="AH222" s="30"/>
      <c r="AI222" s="172" t="s">
        <v>608</v>
      </c>
      <c r="AJ222" s="29"/>
      <c r="AK222" s="29"/>
      <c r="AL222" s="30"/>
      <c r="AM222" s="172" t="s">
        <v>608</v>
      </c>
      <c r="AN222" s="29"/>
      <c r="AO222" s="29"/>
      <c r="AP222" s="30"/>
      <c r="AQ222" s="172" t="s">
        <v>608</v>
      </c>
      <c r="AR222" s="29"/>
      <c r="AS222" s="29"/>
      <c r="AT222" s="30"/>
      <c r="AU222" s="172" t="s">
        <v>608</v>
      </c>
      <c r="AV222" s="29"/>
      <c r="AW222" s="29"/>
      <c r="AX222" s="30"/>
      <c r="AY222" s="55"/>
      <c r="AZ222" s="29"/>
      <c r="BA222" s="29"/>
      <c r="BB222" s="30"/>
      <c r="BC222" s="172" t="s">
        <v>751</v>
      </c>
      <c r="BD222" s="29"/>
      <c r="BE222" s="29"/>
      <c r="BF222" s="30"/>
      <c r="BG222" s="55"/>
      <c r="BH222" s="29"/>
      <c r="BI222" s="29"/>
      <c r="BJ222" s="30"/>
      <c r="BK222" s="172" t="s">
        <v>751</v>
      </c>
      <c r="BL222" s="29"/>
      <c r="BM222" s="29"/>
      <c r="BN222" s="30"/>
      <c r="BO222" s="55"/>
      <c r="BP222" s="29"/>
      <c r="BQ222" s="29"/>
      <c r="BR222" s="30"/>
      <c r="BS222" s="55"/>
      <c r="BT222" s="29"/>
      <c r="BU222" s="29"/>
      <c r="BV222" s="30"/>
      <c r="BW222" s="55"/>
      <c r="BX222" s="29"/>
      <c r="BY222" s="29"/>
      <c r="BZ222" s="30"/>
      <c r="CA222" s="31"/>
    </row>
    <row r="223" spans="1:79" hidden="1">
      <c r="A223" s="71" t="s">
        <v>1242</v>
      </c>
      <c r="B223" s="297"/>
      <c r="C223" s="307" t="s">
        <v>1032</v>
      </c>
      <c r="D223" s="299" t="str">
        <f t="shared" si="55"/>
        <v xml:space="preserve"> 740</v>
      </c>
      <c r="E223" s="308" t="s">
        <v>1032</v>
      </c>
      <c r="F223" s="301">
        <f t="shared" si="56"/>
        <v>0</v>
      </c>
      <c r="G223" s="302" t="s">
        <v>1063</v>
      </c>
      <c r="H223" s="302" t="s">
        <v>292</v>
      </c>
      <c r="I223" s="302" t="s">
        <v>1129</v>
      </c>
      <c r="J223" s="303">
        <v>85000</v>
      </c>
      <c r="K223" s="312">
        <f t="shared" si="47"/>
        <v>7500</v>
      </c>
      <c r="L223" s="301" t="s">
        <v>69</v>
      </c>
      <c r="M223" s="305">
        <f t="shared" si="60"/>
        <v>77500</v>
      </c>
      <c r="N223" s="316">
        <f>2000+300+600+1000+3600</f>
        <v>7500</v>
      </c>
      <c r="O223" s="306">
        <f t="shared" si="61"/>
        <v>85000</v>
      </c>
      <c r="P223" s="294"/>
      <c r="Q223" s="292" t="s">
        <v>1210</v>
      </c>
      <c r="R223" s="22"/>
      <c r="S223" s="22">
        <f t="shared" si="50"/>
        <v>85000</v>
      </c>
      <c r="T223" s="22">
        <f t="shared" si="51"/>
        <v>121428.57142857143</v>
      </c>
      <c r="U223" s="23">
        <f t="shared" si="52"/>
        <v>138775.51020408163</v>
      </c>
      <c r="V223" s="24">
        <f t="shared" si="53"/>
        <v>0.12499999999999992</v>
      </c>
      <c r="W223" s="23">
        <f t="shared" si="57"/>
        <v>138800</v>
      </c>
      <c r="X223" s="164">
        <f t="shared" si="54"/>
        <v>0.30000000000000004</v>
      </c>
      <c r="Y223" s="25"/>
      <c r="Z223" s="25"/>
      <c r="AA223" s="37"/>
      <c r="AB223" s="26"/>
      <c r="AC223" s="164"/>
      <c r="AD223" s="35"/>
      <c r="AE223" s="36"/>
      <c r="AF223" s="29"/>
      <c r="AG223" s="29"/>
      <c r="AH223" s="30"/>
      <c r="AI223" s="172" t="s">
        <v>608</v>
      </c>
      <c r="AJ223" s="29"/>
      <c r="AK223" s="29"/>
      <c r="AL223" s="30"/>
      <c r="AM223" s="172" t="s">
        <v>608</v>
      </c>
      <c r="AN223" s="29"/>
      <c r="AO223" s="29"/>
      <c r="AP223" s="30"/>
      <c r="AQ223" s="172" t="s">
        <v>608</v>
      </c>
      <c r="AR223" s="29"/>
      <c r="AS223" s="29"/>
      <c r="AT223" s="30"/>
      <c r="AU223" s="172" t="s">
        <v>608</v>
      </c>
      <c r="AV223" s="29"/>
      <c r="AW223" s="29"/>
      <c r="AX223" s="30"/>
      <c r="AY223" s="55"/>
      <c r="AZ223" s="29"/>
      <c r="BA223" s="29"/>
      <c r="BB223" s="30"/>
      <c r="BC223" s="172" t="s">
        <v>751</v>
      </c>
      <c r="BD223" s="29"/>
      <c r="BE223" s="29"/>
      <c r="BF223" s="30"/>
      <c r="BG223" s="55"/>
      <c r="BH223" s="29"/>
      <c r="BI223" s="29"/>
      <c r="BJ223" s="30"/>
      <c r="BK223" s="172" t="s">
        <v>751</v>
      </c>
      <c r="BL223" s="29"/>
      <c r="BM223" s="29"/>
      <c r="BN223" s="30"/>
      <c r="BO223" s="55"/>
      <c r="BP223" s="29"/>
      <c r="BQ223" s="29"/>
      <c r="BR223" s="30"/>
      <c r="BS223" s="55"/>
      <c r="BT223" s="29"/>
      <c r="BU223" s="29"/>
      <c r="BV223" s="30"/>
      <c r="BW223" s="55"/>
      <c r="BX223" s="29"/>
      <c r="BY223" s="29"/>
      <c r="BZ223" s="30"/>
      <c r="CA223" s="31"/>
    </row>
    <row r="224" spans="1:79" hidden="1">
      <c r="A224" s="71" t="s">
        <v>1242</v>
      </c>
      <c r="B224" s="297"/>
      <c r="C224" s="307" t="s">
        <v>362</v>
      </c>
      <c r="D224" s="299" t="str">
        <f t="shared" si="55"/>
        <v xml:space="preserve"> 840</v>
      </c>
      <c r="E224" s="308" t="s">
        <v>362</v>
      </c>
      <c r="F224" s="301">
        <f t="shared" si="56"/>
        <v>0</v>
      </c>
      <c r="G224" s="302" t="s">
        <v>35</v>
      </c>
      <c r="H224" s="302" t="s">
        <v>1073</v>
      </c>
      <c r="I224" s="302" t="s">
        <v>1129</v>
      </c>
      <c r="J224" s="303">
        <v>90050</v>
      </c>
      <c r="K224" s="312">
        <f t="shared" si="47"/>
        <v>7550</v>
      </c>
      <c r="L224" s="301" t="s">
        <v>69</v>
      </c>
      <c r="M224" s="305">
        <f t="shared" si="60"/>
        <v>82500</v>
      </c>
      <c r="N224" s="316">
        <f>2000+300+800+1000+3450</f>
        <v>7550</v>
      </c>
      <c r="O224" s="306">
        <f t="shared" si="61"/>
        <v>90050</v>
      </c>
      <c r="P224" s="295"/>
      <c r="Q224" s="292" t="s">
        <v>1219</v>
      </c>
      <c r="R224" s="22"/>
      <c r="S224" s="22">
        <f t="shared" si="50"/>
        <v>90050</v>
      </c>
      <c r="T224" s="22">
        <f t="shared" si="51"/>
        <v>128642.85714285714</v>
      </c>
      <c r="U224" s="23">
        <f t="shared" si="52"/>
        <v>147020.4081632653</v>
      </c>
      <c r="V224" s="24">
        <f t="shared" si="53"/>
        <v>0.12499999999999993</v>
      </c>
      <c r="W224" s="23">
        <f t="shared" si="57"/>
        <v>147100</v>
      </c>
      <c r="X224" s="164">
        <f t="shared" si="54"/>
        <v>0.3</v>
      </c>
      <c r="Y224" s="188">
        <v>142857</v>
      </c>
      <c r="Z224" s="188">
        <f>T224-Y224</f>
        <v>-14214.142857142855</v>
      </c>
      <c r="AA224" s="189">
        <f>Z224/Y224</f>
        <v>-9.9499099499099491E-2</v>
      </c>
      <c r="AB224" s="34"/>
      <c r="AC224" s="164"/>
      <c r="AD224" s="35"/>
      <c r="AE224" s="36"/>
      <c r="AF224" s="29"/>
      <c r="AG224" s="29"/>
      <c r="AH224" s="30"/>
      <c r="AI224" s="172" t="s">
        <v>608</v>
      </c>
      <c r="AJ224" s="29"/>
      <c r="AK224" s="29"/>
      <c r="AL224" s="30"/>
      <c r="AM224" s="172" t="s">
        <v>608</v>
      </c>
      <c r="AN224" s="29"/>
      <c r="AO224" s="29"/>
      <c r="AP224" s="30"/>
      <c r="AQ224" s="172" t="s">
        <v>608</v>
      </c>
      <c r="AR224" s="29"/>
      <c r="AS224" s="29"/>
      <c r="AT224" s="30"/>
      <c r="AU224" s="172" t="s">
        <v>608</v>
      </c>
      <c r="AV224" s="29"/>
      <c r="AW224" s="29"/>
      <c r="AX224" s="30"/>
      <c r="AY224" s="55"/>
      <c r="AZ224" s="29"/>
      <c r="BA224" s="29"/>
      <c r="BB224" s="30"/>
      <c r="BC224" s="172" t="s">
        <v>751</v>
      </c>
      <c r="BD224" s="29"/>
      <c r="BE224" s="29"/>
      <c r="BF224" s="30"/>
      <c r="BG224" s="55"/>
      <c r="BH224" s="29"/>
      <c r="BI224" s="29"/>
      <c r="BJ224" s="30"/>
      <c r="BK224" s="172" t="s">
        <v>751</v>
      </c>
      <c r="BL224" s="29"/>
      <c r="BM224" s="29"/>
      <c r="BN224" s="30"/>
      <c r="BO224" s="55"/>
      <c r="BP224" s="29"/>
      <c r="BQ224" s="29"/>
      <c r="BR224" s="30"/>
      <c r="BS224" s="55"/>
      <c r="BT224" s="29"/>
      <c r="BU224" s="29"/>
      <c r="BV224" s="30"/>
      <c r="BW224" s="55"/>
      <c r="BX224" s="29"/>
      <c r="BY224" s="29"/>
      <c r="BZ224" s="30"/>
      <c r="CA224" s="31"/>
    </row>
    <row r="225" spans="1:79" hidden="1">
      <c r="A225" s="71" t="s">
        <v>1242</v>
      </c>
      <c r="B225" s="297"/>
      <c r="C225" s="307" t="s">
        <v>342</v>
      </c>
      <c r="D225" s="299" t="str">
        <f t="shared" si="55"/>
        <v xml:space="preserve"> 605</v>
      </c>
      <c r="E225" s="308" t="s">
        <v>342</v>
      </c>
      <c r="F225" s="301">
        <f t="shared" si="56"/>
        <v>0</v>
      </c>
      <c r="G225" s="302" t="s">
        <v>35</v>
      </c>
      <c r="H225" s="302" t="s">
        <v>292</v>
      </c>
      <c r="I225" s="302" t="s">
        <v>1129</v>
      </c>
      <c r="J225" s="303">
        <v>84950</v>
      </c>
      <c r="K225" s="312">
        <f t="shared" si="47"/>
        <v>5950</v>
      </c>
      <c r="L225" s="301" t="s">
        <v>69</v>
      </c>
      <c r="M225" s="305">
        <f t="shared" si="60"/>
        <v>79000</v>
      </c>
      <c r="N225" s="316">
        <f>2000+300+800+2850</f>
        <v>5950</v>
      </c>
      <c r="O225" s="306">
        <f t="shared" si="61"/>
        <v>84950</v>
      </c>
      <c r="P225" s="294"/>
      <c r="Q225" s="292" t="s">
        <v>1220</v>
      </c>
      <c r="R225" s="22"/>
      <c r="S225" s="22">
        <f t="shared" si="50"/>
        <v>84950</v>
      </c>
      <c r="T225" s="22">
        <f t="shared" si="51"/>
        <v>121357.14285714287</v>
      </c>
      <c r="U225" s="23">
        <f t="shared" si="52"/>
        <v>138693.87755102041</v>
      </c>
      <c r="V225" s="24">
        <f t="shared" si="53"/>
        <v>0.12499999999999994</v>
      </c>
      <c r="W225" s="23">
        <f t="shared" si="57"/>
        <v>138700</v>
      </c>
      <c r="X225" s="164">
        <f t="shared" si="54"/>
        <v>0.30000000000000004</v>
      </c>
      <c r="Y225" s="188">
        <v>140000</v>
      </c>
      <c r="Z225" s="188">
        <f>T225-Y225</f>
        <v>-18642.85714285713</v>
      </c>
      <c r="AA225" s="189">
        <f>Z225/Y225</f>
        <v>-0.13316326530612235</v>
      </c>
      <c r="AB225" s="26"/>
      <c r="AC225" s="164"/>
      <c r="AD225" s="35"/>
      <c r="AE225" s="36"/>
      <c r="AF225" s="29"/>
      <c r="AG225" s="29"/>
      <c r="AH225" s="30"/>
      <c r="AI225" s="172" t="s">
        <v>608</v>
      </c>
      <c r="AJ225" s="29"/>
      <c r="AK225" s="29"/>
      <c r="AL225" s="30"/>
      <c r="AM225" s="172" t="s">
        <v>608</v>
      </c>
      <c r="AN225" s="29"/>
      <c r="AO225" s="29"/>
      <c r="AP225" s="30"/>
      <c r="AQ225" s="172" t="s">
        <v>608</v>
      </c>
      <c r="AR225" s="29"/>
      <c r="AS225" s="29"/>
      <c r="AT225" s="30"/>
      <c r="AU225" s="172" t="s">
        <v>608</v>
      </c>
      <c r="AV225" s="29"/>
      <c r="AW225" s="29"/>
      <c r="AX225" s="30"/>
      <c r="AY225" s="55"/>
      <c r="AZ225" s="29"/>
      <c r="BA225" s="29"/>
      <c r="BB225" s="30"/>
      <c r="BC225" s="172" t="s">
        <v>751</v>
      </c>
      <c r="BD225" s="29"/>
      <c r="BE225" s="29"/>
      <c r="BF225" s="30"/>
      <c r="BG225" s="55"/>
      <c r="BH225" s="29"/>
      <c r="BI225" s="29"/>
      <c r="BJ225" s="30"/>
      <c r="BK225" s="172" t="s">
        <v>751</v>
      </c>
      <c r="BL225" s="29"/>
      <c r="BM225" s="29"/>
      <c r="BN225" s="30"/>
      <c r="BO225" s="55"/>
      <c r="BP225" s="29"/>
      <c r="BQ225" s="29"/>
      <c r="BR225" s="30"/>
      <c r="BS225" s="55"/>
      <c r="BT225" s="29"/>
      <c r="BU225" s="29"/>
      <c r="BV225" s="30"/>
      <c r="BW225" s="55"/>
      <c r="BX225" s="29"/>
      <c r="BY225" s="29"/>
      <c r="BZ225" s="30"/>
      <c r="CA225" s="31"/>
    </row>
    <row r="226" spans="1:79" hidden="1">
      <c r="A226" s="71" t="s">
        <v>1242</v>
      </c>
      <c r="B226" s="297"/>
      <c r="C226" s="307" t="s">
        <v>348</v>
      </c>
      <c r="D226" s="299" t="str">
        <f t="shared" si="55"/>
        <v xml:space="preserve"> 348</v>
      </c>
      <c r="E226" s="308" t="s">
        <v>348</v>
      </c>
      <c r="F226" s="301">
        <f t="shared" si="56"/>
        <v>0</v>
      </c>
      <c r="G226" s="302" t="s">
        <v>35</v>
      </c>
      <c r="H226" s="302" t="s">
        <v>292</v>
      </c>
      <c r="I226" s="302" t="s">
        <v>1129</v>
      </c>
      <c r="J226" s="303">
        <v>56450</v>
      </c>
      <c r="K226" s="312">
        <f t="shared" si="47"/>
        <v>6950</v>
      </c>
      <c r="L226" s="301" t="s">
        <v>69</v>
      </c>
      <c r="M226" s="305">
        <f t="shared" si="60"/>
        <v>49500</v>
      </c>
      <c r="N226" s="316">
        <f>2000+300+800+1000+2850</f>
        <v>6950</v>
      </c>
      <c r="O226" s="306">
        <f t="shared" si="61"/>
        <v>56450</v>
      </c>
      <c r="P226" s="294"/>
      <c r="Q226" s="292" t="s">
        <v>1221</v>
      </c>
      <c r="R226" s="22"/>
      <c r="S226" s="22">
        <f t="shared" si="50"/>
        <v>56450</v>
      </c>
      <c r="T226" s="22">
        <f t="shared" si="51"/>
        <v>80642.857142857145</v>
      </c>
      <c r="U226" s="23">
        <f t="shared" si="52"/>
        <v>92163.265306122456</v>
      </c>
      <c r="V226" s="24">
        <f t="shared" si="53"/>
        <v>0.12500000000000003</v>
      </c>
      <c r="W226" s="23">
        <f t="shared" si="57"/>
        <v>92200</v>
      </c>
      <c r="X226" s="164">
        <f t="shared" si="54"/>
        <v>0.30000000000000004</v>
      </c>
      <c r="Y226" s="25"/>
      <c r="Z226" s="25"/>
      <c r="AA226" s="37"/>
      <c r="AB226" s="26"/>
      <c r="AC226" s="164"/>
      <c r="AD226" s="35"/>
      <c r="AE226" s="28"/>
      <c r="AF226" s="29"/>
      <c r="AG226" s="29"/>
      <c r="AH226" s="30"/>
      <c r="AI226" s="172" t="s">
        <v>608</v>
      </c>
      <c r="AJ226" s="29"/>
      <c r="AK226" s="29"/>
      <c r="AL226" s="30"/>
      <c r="AM226" s="172" t="s">
        <v>608</v>
      </c>
      <c r="AN226" s="29"/>
      <c r="AO226" s="29"/>
      <c r="AP226" s="30"/>
      <c r="AQ226" s="172" t="s">
        <v>608</v>
      </c>
      <c r="AR226" s="29"/>
      <c r="AS226" s="29"/>
      <c r="AT226" s="30"/>
      <c r="AU226" s="172" t="s">
        <v>608</v>
      </c>
      <c r="AV226" s="29"/>
      <c r="AW226" s="29"/>
      <c r="AX226" s="30"/>
      <c r="AY226" s="55"/>
      <c r="AZ226" s="29"/>
      <c r="BA226" s="29"/>
      <c r="BB226" s="30"/>
      <c r="BC226" s="172" t="s">
        <v>751</v>
      </c>
      <c r="BD226" s="29"/>
      <c r="BE226" s="29"/>
      <c r="BF226" s="30"/>
      <c r="BG226" s="55"/>
      <c r="BH226" s="29"/>
      <c r="BI226" s="29"/>
      <c r="BJ226" s="30"/>
      <c r="BK226" s="172" t="s">
        <v>751</v>
      </c>
      <c r="BL226" s="29"/>
      <c r="BM226" s="29"/>
      <c r="BN226" s="30"/>
      <c r="BO226" s="55"/>
      <c r="BP226" s="29"/>
      <c r="BQ226" s="29"/>
      <c r="BR226" s="30"/>
      <c r="BS226" s="55"/>
      <c r="BT226" s="29"/>
      <c r="BU226" s="29"/>
      <c r="BV226" s="30"/>
      <c r="BW226" s="55"/>
      <c r="BX226" s="29"/>
      <c r="BY226" s="29"/>
      <c r="BZ226" s="30"/>
      <c r="CA226" s="31"/>
    </row>
    <row r="227" spans="1:79" hidden="1">
      <c r="A227" s="71" t="s">
        <v>1242</v>
      </c>
      <c r="B227" s="297"/>
      <c r="C227" s="307" t="s">
        <v>1033</v>
      </c>
      <c r="D227" s="299" t="str">
        <f t="shared" si="55"/>
        <v xml:space="preserve"> 633</v>
      </c>
      <c r="E227" s="308" t="s">
        <v>1033</v>
      </c>
      <c r="F227" s="301">
        <f t="shared" si="56"/>
        <v>0</v>
      </c>
      <c r="G227" s="302" t="s">
        <v>1063</v>
      </c>
      <c r="H227" s="302" t="s">
        <v>1079</v>
      </c>
      <c r="I227" s="302" t="s">
        <v>1130</v>
      </c>
      <c r="J227" s="303">
        <v>70000</v>
      </c>
      <c r="K227" s="312">
        <f t="shared" si="47"/>
        <v>4200</v>
      </c>
      <c r="L227" s="301" t="s">
        <v>69</v>
      </c>
      <c r="M227" s="305">
        <f t="shared" si="60"/>
        <v>65800</v>
      </c>
      <c r="N227" s="316">
        <f>2000+200+350+600+300+750</f>
        <v>4200</v>
      </c>
      <c r="O227" s="306">
        <f t="shared" si="61"/>
        <v>70000</v>
      </c>
      <c r="P227" s="294"/>
      <c r="Q227" s="292" t="s">
        <v>1222</v>
      </c>
      <c r="R227" s="22"/>
      <c r="S227" s="22">
        <f t="shared" si="50"/>
        <v>70000</v>
      </c>
      <c r="T227" s="22">
        <f t="shared" si="51"/>
        <v>100000</v>
      </c>
      <c r="U227" s="23">
        <f t="shared" si="52"/>
        <v>114285.71428571429</v>
      </c>
      <c r="V227" s="24">
        <f t="shared" si="53"/>
        <v>0.12500000000000003</v>
      </c>
      <c r="W227" s="23">
        <f t="shared" si="57"/>
        <v>114300</v>
      </c>
      <c r="X227" s="164">
        <f t="shared" si="54"/>
        <v>0.3</v>
      </c>
      <c r="Y227" s="25"/>
      <c r="Z227" s="25"/>
      <c r="AA227" s="25"/>
      <c r="AB227" s="34" t="s">
        <v>259</v>
      </c>
      <c r="AC227" s="164" t="e">
        <f>AVERAGE(X227,X225,X221,X220,X215,X214,X213,X212,X211,X210,X209,#REF!,#REF!,X202)</f>
        <v>#REF!</v>
      </c>
      <c r="AD227" s="208" t="e">
        <f>AVERAGE(T202,#REF!,T209,T210,T211,T212,T213,T214,T215,T220,T221,T225,T227)</f>
        <v>#REF!</v>
      </c>
      <c r="AE227" s="28">
        <f>AVERAGE(AI227,AM227,AQ227,AU227,BC227,BK227,BO227,BS227,BW227)</f>
        <v>113984.16666666667</v>
      </c>
      <c r="AF227" s="180">
        <v>112038.09523809525</v>
      </c>
      <c r="AG227" s="181">
        <v>111104</v>
      </c>
      <c r="AH227" s="51" t="e">
        <f>(AD227-AF227)/AF227</f>
        <v>#REF!</v>
      </c>
      <c r="AI227" s="41">
        <v>97325</v>
      </c>
      <c r="AJ227" s="180">
        <f>68085/0.7</f>
        <v>97264.285714285725</v>
      </c>
      <c r="AK227" s="180">
        <v>89687</v>
      </c>
      <c r="AL227" s="21">
        <f>(AI227-AJ227)/AJ227</f>
        <v>6.2421972534321395E-4</v>
      </c>
      <c r="AM227" s="59">
        <v>98962</v>
      </c>
      <c r="AN227" s="180">
        <f>68588/0.7</f>
        <v>97982.857142857145</v>
      </c>
      <c r="AO227" s="180">
        <v>88184</v>
      </c>
      <c r="AP227" s="21">
        <f>(AM227-AN227)/AN227</f>
        <v>9.9930016912579238E-3</v>
      </c>
      <c r="AQ227" s="44">
        <v>121669</v>
      </c>
      <c r="AR227" s="180">
        <v>119250</v>
      </c>
      <c r="AS227" s="180">
        <v>119250</v>
      </c>
      <c r="AT227" s="21">
        <f>(AQ227-AR227)/AR227</f>
        <v>2.0285115303983227E-2</v>
      </c>
      <c r="AU227" s="171">
        <v>118432</v>
      </c>
      <c r="AV227" s="180">
        <f>84105/0.7</f>
        <v>120150.00000000001</v>
      </c>
      <c r="AW227" s="180">
        <v>120150</v>
      </c>
      <c r="AX227" s="21">
        <f>(AU227-AV227)/AV227</f>
        <v>-1.4298793175197789E-2</v>
      </c>
      <c r="AY227" s="57"/>
      <c r="AZ227" s="29"/>
      <c r="BA227" s="29"/>
      <c r="BB227" s="30"/>
      <c r="BC227" s="59">
        <v>108825</v>
      </c>
      <c r="BD227" s="180">
        <v>112334</v>
      </c>
      <c r="BE227" s="180">
        <v>118940</v>
      </c>
      <c r="BF227" s="21">
        <f>(BC227-BD227)/BD227</f>
        <v>-3.1237203340039526E-2</v>
      </c>
      <c r="BG227" s="57"/>
      <c r="BH227" s="29"/>
      <c r="BI227" s="29"/>
      <c r="BJ227" s="30"/>
      <c r="BK227" s="44">
        <v>138692</v>
      </c>
      <c r="BL227" s="180">
        <f>87063/0.7</f>
        <v>124375.71428571429</v>
      </c>
      <c r="BM227" s="180">
        <v>119647</v>
      </c>
      <c r="BN227" s="21">
        <f>(BK227-BL227)/BL227</f>
        <v>0.11510515373924625</v>
      </c>
      <c r="BO227" s="57"/>
      <c r="BP227" s="180">
        <f>80511/0.7</f>
        <v>115015.71428571429</v>
      </c>
      <c r="BQ227" s="180">
        <v>116266</v>
      </c>
      <c r="BR227" s="21">
        <f>(BP227-BQ227)/BQ227</f>
        <v>-1.0753665854899197E-2</v>
      </c>
      <c r="BS227" s="55"/>
      <c r="BT227" s="29"/>
      <c r="BU227" s="29"/>
      <c r="BV227" s="30"/>
      <c r="BW227" s="55"/>
      <c r="BX227" s="29"/>
      <c r="BY227" s="29"/>
      <c r="BZ227" s="30"/>
      <c r="CA227" s="31"/>
    </row>
    <row r="228" spans="1:79" hidden="1">
      <c r="A228" s="71" t="s">
        <v>1242</v>
      </c>
      <c r="B228" s="297"/>
      <c r="C228" s="307" t="s">
        <v>1034</v>
      </c>
      <c r="D228" s="299" t="str">
        <f t="shared" si="55"/>
        <v xml:space="preserve"> 888</v>
      </c>
      <c r="E228" s="308" t="s">
        <v>1034</v>
      </c>
      <c r="F228" s="301">
        <f t="shared" si="56"/>
        <v>0</v>
      </c>
      <c r="G228" s="302" t="s">
        <v>1063</v>
      </c>
      <c r="H228" s="302" t="s">
        <v>1077</v>
      </c>
      <c r="I228" s="302" t="s">
        <v>1130</v>
      </c>
      <c r="J228" s="303">
        <v>70000</v>
      </c>
      <c r="K228" s="312">
        <f t="shared" si="47"/>
        <v>4200</v>
      </c>
      <c r="L228" s="301" t="s">
        <v>69</v>
      </c>
      <c r="M228" s="305">
        <f t="shared" si="60"/>
        <v>65800</v>
      </c>
      <c r="N228" s="316">
        <f t="shared" ref="N228:N230" si="62">2000+200+350+600+300+750</f>
        <v>4200</v>
      </c>
      <c r="O228" s="306">
        <f t="shared" si="61"/>
        <v>70000</v>
      </c>
      <c r="P228" s="294"/>
      <c r="Q228" s="292" t="s">
        <v>1223</v>
      </c>
      <c r="R228" s="22"/>
      <c r="S228" s="22">
        <f t="shared" si="50"/>
        <v>70000</v>
      </c>
      <c r="T228" s="22">
        <f t="shared" si="51"/>
        <v>100000</v>
      </c>
      <c r="U228" s="23">
        <f t="shared" si="52"/>
        <v>114285.71428571429</v>
      </c>
      <c r="V228" s="24">
        <f t="shared" si="53"/>
        <v>0.12500000000000003</v>
      </c>
      <c r="W228" s="23">
        <f t="shared" si="57"/>
        <v>114300</v>
      </c>
      <c r="X228" s="164">
        <f t="shared" si="54"/>
        <v>0.3</v>
      </c>
      <c r="Y228" s="25"/>
      <c r="Z228" s="25"/>
      <c r="AA228" s="37"/>
      <c r="AB228" s="26"/>
      <c r="AC228" s="164"/>
      <c r="AD228" s="35"/>
      <c r="AE228" s="36"/>
      <c r="AF228" s="29"/>
      <c r="AG228" s="29"/>
      <c r="AH228" s="30"/>
      <c r="AI228" s="172" t="s">
        <v>608</v>
      </c>
      <c r="AJ228" s="29"/>
      <c r="AK228" s="29"/>
      <c r="AL228" s="30"/>
      <c r="AM228" s="172" t="s">
        <v>608</v>
      </c>
      <c r="AN228" s="29"/>
      <c r="AO228" s="29"/>
      <c r="AP228" s="30"/>
      <c r="AQ228" s="172" t="s">
        <v>608</v>
      </c>
      <c r="AR228" s="29"/>
      <c r="AS228" s="29"/>
      <c r="AT228" s="30"/>
      <c r="AU228" s="172" t="s">
        <v>608</v>
      </c>
      <c r="AV228" s="29"/>
      <c r="AW228" s="29"/>
      <c r="AX228" s="30"/>
      <c r="AY228" s="55"/>
      <c r="AZ228" s="29"/>
      <c r="BA228" s="29"/>
      <c r="BB228" s="30"/>
      <c r="BC228" s="172" t="s">
        <v>751</v>
      </c>
      <c r="BD228" s="29"/>
      <c r="BE228" s="29"/>
      <c r="BF228" s="30"/>
      <c r="BG228" s="55"/>
      <c r="BH228" s="29"/>
      <c r="BI228" s="29"/>
      <c r="BJ228" s="30"/>
      <c r="BK228" s="172" t="s">
        <v>751</v>
      </c>
      <c r="BL228" s="29"/>
      <c r="BM228" s="29"/>
      <c r="BN228" s="30"/>
      <c r="BO228" s="55"/>
      <c r="BP228" s="29"/>
      <c r="BQ228" s="29"/>
      <c r="BR228" s="30"/>
      <c r="BS228" s="55"/>
      <c r="BT228" s="29"/>
      <c r="BU228" s="29"/>
      <c r="BV228" s="30"/>
      <c r="BW228" s="55"/>
      <c r="BX228" s="29"/>
      <c r="BY228" s="29"/>
      <c r="BZ228" s="30"/>
      <c r="CA228" s="31"/>
    </row>
    <row r="229" spans="1:79" hidden="1">
      <c r="A229" s="71" t="s">
        <v>1242</v>
      </c>
      <c r="B229" s="297"/>
      <c r="C229" s="307" t="s">
        <v>1035</v>
      </c>
      <c r="D229" s="299" t="str">
        <f t="shared" si="55"/>
        <v xml:space="preserve"> 266</v>
      </c>
      <c r="E229" s="308" t="s">
        <v>1035</v>
      </c>
      <c r="F229" s="301">
        <f t="shared" si="56"/>
        <v>0</v>
      </c>
      <c r="G229" s="302" t="s">
        <v>1063</v>
      </c>
      <c r="H229" s="302" t="s">
        <v>1079</v>
      </c>
      <c r="I229" s="302" t="s">
        <v>1130</v>
      </c>
      <c r="J229" s="303">
        <v>70000</v>
      </c>
      <c r="K229" s="312">
        <f t="shared" ref="K229:K268" si="63">J229-M229</f>
        <v>4200</v>
      </c>
      <c r="L229" s="301" t="s">
        <v>69</v>
      </c>
      <c r="M229" s="305">
        <f t="shared" si="60"/>
        <v>65800</v>
      </c>
      <c r="N229" s="316">
        <f t="shared" si="62"/>
        <v>4200</v>
      </c>
      <c r="O229" s="306">
        <f t="shared" si="61"/>
        <v>70000</v>
      </c>
      <c r="P229" s="295"/>
      <c r="Q229" s="292" t="s">
        <v>1224</v>
      </c>
      <c r="R229" s="22"/>
      <c r="S229" s="22">
        <f t="shared" si="50"/>
        <v>70000</v>
      </c>
      <c r="T229" s="22">
        <f t="shared" si="51"/>
        <v>100000</v>
      </c>
      <c r="U229" s="23">
        <f t="shared" si="52"/>
        <v>114285.71428571429</v>
      </c>
      <c r="V229" s="24">
        <f t="shared" si="53"/>
        <v>0.12500000000000003</v>
      </c>
      <c r="W229" s="23">
        <f t="shared" si="57"/>
        <v>114300</v>
      </c>
      <c r="X229" s="164">
        <f t="shared" si="54"/>
        <v>0.3</v>
      </c>
      <c r="Y229" s="25"/>
      <c r="Z229" s="25"/>
      <c r="AA229" s="25"/>
      <c r="AB229" s="34"/>
      <c r="AC229" s="164"/>
      <c r="AD229" s="35"/>
      <c r="AE229" s="36"/>
      <c r="AF229" s="29"/>
      <c r="AG229" s="29"/>
      <c r="AH229" s="30"/>
      <c r="AI229" s="172" t="s">
        <v>608</v>
      </c>
      <c r="AJ229" s="29"/>
      <c r="AK229" s="29"/>
      <c r="AL229" s="30"/>
      <c r="AM229" s="172" t="s">
        <v>608</v>
      </c>
      <c r="AN229" s="29"/>
      <c r="AO229" s="29"/>
      <c r="AP229" s="30"/>
      <c r="AQ229" s="172" t="s">
        <v>608</v>
      </c>
      <c r="AR229" s="29"/>
      <c r="AS229" s="29"/>
      <c r="AT229" s="30"/>
      <c r="AU229" s="172" t="s">
        <v>608</v>
      </c>
      <c r="AV229" s="29"/>
      <c r="AW229" s="29"/>
      <c r="AX229" s="30"/>
      <c r="AY229" s="55"/>
      <c r="AZ229" s="29"/>
      <c r="BA229" s="29"/>
      <c r="BB229" s="30"/>
      <c r="BC229" s="172" t="s">
        <v>751</v>
      </c>
      <c r="BD229" s="29"/>
      <c r="BE229" s="29"/>
      <c r="BF229" s="30"/>
      <c r="BG229" s="55"/>
      <c r="BH229" s="29"/>
      <c r="BI229" s="29"/>
      <c r="BJ229" s="30"/>
      <c r="BK229" s="172" t="s">
        <v>751</v>
      </c>
      <c r="BL229" s="29"/>
      <c r="BM229" s="29"/>
      <c r="BN229" s="30"/>
      <c r="BO229" s="55"/>
      <c r="BP229" s="29"/>
      <c r="BQ229" s="29"/>
      <c r="BR229" s="30"/>
      <c r="BS229" s="55"/>
      <c r="BT229" s="29"/>
      <c r="BU229" s="29"/>
      <c r="BV229" s="30"/>
      <c r="BW229" s="55"/>
      <c r="BX229" s="29"/>
      <c r="BY229" s="29"/>
      <c r="BZ229" s="30"/>
      <c r="CA229" s="31"/>
    </row>
    <row r="230" spans="1:79" hidden="1">
      <c r="A230" s="71" t="s">
        <v>1242</v>
      </c>
      <c r="B230" s="297"/>
      <c r="C230" s="307" t="s">
        <v>1036</v>
      </c>
      <c r="D230" s="299" t="str">
        <f t="shared" si="55"/>
        <v xml:space="preserve"> 765</v>
      </c>
      <c r="E230" s="308" t="s">
        <v>1036</v>
      </c>
      <c r="F230" s="301">
        <f t="shared" si="56"/>
        <v>0</v>
      </c>
      <c r="G230" s="302" t="s">
        <v>1063</v>
      </c>
      <c r="H230" s="302" t="s">
        <v>1079</v>
      </c>
      <c r="I230" s="302" t="s">
        <v>1130</v>
      </c>
      <c r="J230" s="303">
        <v>72500</v>
      </c>
      <c r="K230" s="312">
        <f t="shared" si="63"/>
        <v>4200</v>
      </c>
      <c r="L230" s="301" t="s">
        <v>69</v>
      </c>
      <c r="M230" s="305">
        <f t="shared" si="60"/>
        <v>68300</v>
      </c>
      <c r="N230" s="316">
        <f t="shared" si="62"/>
        <v>4200</v>
      </c>
      <c r="O230" s="306">
        <f t="shared" si="61"/>
        <v>72500</v>
      </c>
      <c r="P230" s="295"/>
      <c r="Q230" s="292" t="s">
        <v>1225</v>
      </c>
      <c r="R230" s="22"/>
      <c r="S230" s="22">
        <f t="shared" si="50"/>
        <v>72500</v>
      </c>
      <c r="T230" s="22">
        <f t="shared" si="51"/>
        <v>103571.42857142858</v>
      </c>
      <c r="U230" s="23">
        <f t="shared" si="52"/>
        <v>118367.34693877552</v>
      </c>
      <c r="V230" s="24">
        <f t="shared" si="53"/>
        <v>0.12499999999999999</v>
      </c>
      <c r="W230" s="23">
        <f t="shared" si="57"/>
        <v>118400</v>
      </c>
      <c r="X230" s="164">
        <f t="shared" si="54"/>
        <v>0.30000000000000004</v>
      </c>
      <c r="Y230" s="25"/>
      <c r="Z230" s="25"/>
      <c r="AA230" s="37"/>
      <c r="AB230" s="26"/>
      <c r="AC230" s="164"/>
      <c r="AD230" s="35"/>
      <c r="AE230" s="36"/>
      <c r="AF230" s="29"/>
      <c r="AG230" s="29"/>
      <c r="AH230" s="30"/>
      <c r="AI230" s="172" t="s">
        <v>608</v>
      </c>
      <c r="AJ230" s="29"/>
      <c r="AK230" s="29"/>
      <c r="AL230" s="30"/>
      <c r="AM230" s="172" t="s">
        <v>608</v>
      </c>
      <c r="AN230" s="29"/>
      <c r="AO230" s="29"/>
      <c r="AP230" s="30"/>
      <c r="AQ230" s="55"/>
      <c r="AR230" s="29"/>
      <c r="AS230" s="29"/>
      <c r="AT230" s="30"/>
      <c r="AU230" s="172" t="s">
        <v>608</v>
      </c>
      <c r="AV230" s="29"/>
      <c r="AW230" s="29"/>
      <c r="AX230" s="30"/>
      <c r="AY230" s="55"/>
      <c r="AZ230" s="29"/>
      <c r="BA230" s="29"/>
      <c r="BB230" s="30"/>
      <c r="BC230" s="172" t="s">
        <v>751</v>
      </c>
      <c r="BD230" s="29"/>
      <c r="BE230" s="29"/>
      <c r="BF230" s="30"/>
      <c r="BG230" s="55"/>
      <c r="BH230" s="29"/>
      <c r="BI230" s="29"/>
      <c r="BJ230" s="30"/>
      <c r="BK230" s="172" t="s">
        <v>751</v>
      </c>
      <c r="BL230" s="29"/>
      <c r="BM230" s="29"/>
      <c r="BN230" s="30"/>
      <c r="BO230" s="55"/>
      <c r="BP230" s="29"/>
      <c r="BQ230" s="29"/>
      <c r="BR230" s="30"/>
      <c r="BS230" s="55"/>
      <c r="BT230" s="29"/>
      <c r="BU230" s="29"/>
      <c r="BV230" s="30"/>
      <c r="BW230" s="55"/>
      <c r="BX230" s="29"/>
      <c r="BY230" s="29"/>
      <c r="BZ230" s="30"/>
      <c r="CA230" s="31"/>
    </row>
    <row r="231" spans="1:79" hidden="1">
      <c r="A231" s="71" t="s">
        <v>1242</v>
      </c>
      <c r="B231" s="297"/>
      <c r="C231" s="307" t="s">
        <v>741</v>
      </c>
      <c r="D231" s="299" t="str">
        <f t="shared" si="55"/>
        <v xml:space="preserve"> 976</v>
      </c>
      <c r="E231" s="308" t="s">
        <v>741</v>
      </c>
      <c r="F231" s="301">
        <f t="shared" si="56"/>
        <v>0</v>
      </c>
      <c r="G231" s="302" t="s">
        <v>35</v>
      </c>
      <c r="H231" s="302" t="s">
        <v>1084</v>
      </c>
      <c r="I231" s="302" t="s">
        <v>1131</v>
      </c>
      <c r="J231" s="313">
        <f>M231</f>
        <v>63000</v>
      </c>
      <c r="K231" s="312">
        <f t="shared" si="63"/>
        <v>0</v>
      </c>
      <c r="L231" s="314" t="s">
        <v>67</v>
      </c>
      <c r="M231" s="316">
        <v>63000</v>
      </c>
      <c r="N231" s="316">
        <f>2000+200+350+600+3000</f>
        <v>6150</v>
      </c>
      <c r="O231" s="306">
        <f t="shared" si="61"/>
        <v>69150</v>
      </c>
      <c r="P231" s="294"/>
      <c r="Q231" s="292" t="s">
        <v>1226</v>
      </c>
      <c r="R231" s="22"/>
      <c r="S231" s="22">
        <f t="shared" si="50"/>
        <v>69150</v>
      </c>
      <c r="T231" s="22">
        <f t="shared" si="51"/>
        <v>98785.71428571429</v>
      </c>
      <c r="U231" s="23">
        <f t="shared" si="52"/>
        <v>112897.95918367348</v>
      </c>
      <c r="V231" s="24">
        <f t="shared" si="53"/>
        <v>0.12500000000000003</v>
      </c>
      <c r="W231" s="23">
        <f t="shared" si="57"/>
        <v>112900</v>
      </c>
      <c r="X231" s="164">
        <f t="shared" si="54"/>
        <v>0.30000000000000004</v>
      </c>
      <c r="Y231" s="25"/>
      <c r="Z231" s="25"/>
      <c r="AA231" s="37"/>
      <c r="AB231" s="26"/>
      <c r="AC231" s="164"/>
      <c r="AD231" s="35"/>
      <c r="AE231" s="36"/>
      <c r="AF231" s="29"/>
      <c r="AG231" s="29"/>
      <c r="AH231" s="30"/>
      <c r="AI231" s="172" t="s">
        <v>608</v>
      </c>
      <c r="AJ231" s="29"/>
      <c r="AK231" s="29"/>
      <c r="AL231" s="30"/>
      <c r="AM231" s="172" t="s">
        <v>608</v>
      </c>
      <c r="AN231" s="29"/>
      <c r="AO231" s="29"/>
      <c r="AP231" s="30"/>
      <c r="AQ231" s="55"/>
      <c r="AR231" s="29"/>
      <c r="AS231" s="29"/>
      <c r="AT231" s="30"/>
      <c r="AU231" s="172" t="s">
        <v>608</v>
      </c>
      <c r="AV231" s="29"/>
      <c r="AW231" s="29"/>
      <c r="AX231" s="30"/>
      <c r="AY231" s="55"/>
      <c r="AZ231" s="29"/>
      <c r="BA231" s="29"/>
      <c r="BB231" s="30"/>
      <c r="BC231" s="172" t="s">
        <v>751</v>
      </c>
      <c r="BD231" s="29"/>
      <c r="BE231" s="29"/>
      <c r="BF231" s="30"/>
      <c r="BG231" s="55"/>
      <c r="BH231" s="29"/>
      <c r="BI231" s="29"/>
      <c r="BJ231" s="30"/>
      <c r="BK231" s="172" t="s">
        <v>751</v>
      </c>
      <c r="BL231" s="29"/>
      <c r="BM231" s="29"/>
      <c r="BN231" s="30"/>
      <c r="BO231" s="55"/>
      <c r="BP231" s="29"/>
      <c r="BQ231" s="29"/>
      <c r="BR231" s="30"/>
      <c r="BS231" s="55"/>
      <c r="BT231" s="29"/>
      <c r="BU231" s="29"/>
      <c r="BV231" s="30"/>
      <c r="BW231" s="55"/>
      <c r="BX231" s="29"/>
      <c r="BY231" s="29"/>
      <c r="BZ231" s="30"/>
      <c r="CA231" s="31"/>
    </row>
    <row r="232" spans="1:79" hidden="1">
      <c r="A232" s="71" t="s">
        <v>1242</v>
      </c>
      <c r="B232" s="297"/>
      <c r="C232" s="307" t="s">
        <v>1037</v>
      </c>
      <c r="D232" s="299" t="str">
        <f t="shared" si="55"/>
        <v xml:space="preserve"> 822</v>
      </c>
      <c r="E232" s="308" t="s">
        <v>1037</v>
      </c>
      <c r="F232" s="301">
        <f t="shared" si="56"/>
        <v>0</v>
      </c>
      <c r="G232" s="302" t="s">
        <v>1063</v>
      </c>
      <c r="H232" s="302" t="s">
        <v>1071</v>
      </c>
      <c r="I232" s="302" t="s">
        <v>1131</v>
      </c>
      <c r="J232" s="313">
        <f t="shared" ref="J232:J268" si="64">M232</f>
        <v>110000</v>
      </c>
      <c r="K232" s="312">
        <f t="shared" si="63"/>
        <v>0</v>
      </c>
      <c r="L232" s="314" t="s">
        <v>67</v>
      </c>
      <c r="M232" s="316">
        <v>110000</v>
      </c>
      <c r="N232" s="316">
        <f>2000+200+350+600+3000</f>
        <v>6150</v>
      </c>
      <c r="O232" s="306">
        <f t="shared" si="61"/>
        <v>116150</v>
      </c>
      <c r="P232" s="294"/>
      <c r="Q232" s="292" t="s">
        <v>1226</v>
      </c>
      <c r="R232" s="22"/>
      <c r="S232" s="22">
        <f t="shared" si="50"/>
        <v>116150</v>
      </c>
      <c r="T232" s="22">
        <f t="shared" si="51"/>
        <v>165928.57142857145</v>
      </c>
      <c r="U232" s="23">
        <f t="shared" si="52"/>
        <v>189632.65306122453</v>
      </c>
      <c r="V232" s="24">
        <f t="shared" si="53"/>
        <v>0.12500000000000006</v>
      </c>
      <c r="W232" s="23">
        <f t="shared" si="57"/>
        <v>189700</v>
      </c>
      <c r="X232" s="164">
        <f t="shared" si="54"/>
        <v>0.3000000000000001</v>
      </c>
      <c r="Y232" s="25"/>
      <c r="Z232" s="25"/>
      <c r="AA232" s="37"/>
      <c r="AB232" s="26"/>
      <c r="AC232" s="164"/>
      <c r="AD232" s="35"/>
      <c r="AE232" s="36"/>
      <c r="AF232" s="29"/>
      <c r="AG232" s="29"/>
      <c r="AH232" s="30"/>
      <c r="AI232" s="172" t="s">
        <v>608</v>
      </c>
      <c r="AJ232" s="29"/>
      <c r="AK232" s="29"/>
      <c r="AL232" s="30"/>
      <c r="AM232" s="172" t="s">
        <v>608</v>
      </c>
      <c r="AN232" s="29"/>
      <c r="AO232" s="29"/>
      <c r="AP232" s="30"/>
      <c r="AQ232" s="55"/>
      <c r="AR232" s="29"/>
      <c r="AS232" s="29"/>
      <c r="AT232" s="30"/>
      <c r="AU232" s="172" t="s">
        <v>608</v>
      </c>
      <c r="AV232" s="29"/>
      <c r="AW232" s="29"/>
      <c r="AX232" s="30"/>
      <c r="AY232" s="55"/>
      <c r="AZ232" s="29"/>
      <c r="BA232" s="29"/>
      <c r="BB232" s="30"/>
      <c r="BC232" s="172" t="s">
        <v>751</v>
      </c>
      <c r="BD232" s="29"/>
      <c r="BE232" s="29"/>
      <c r="BF232" s="30"/>
      <c r="BG232" s="55"/>
      <c r="BH232" s="29"/>
      <c r="BI232" s="29"/>
      <c r="BJ232" s="30"/>
      <c r="BK232" s="172" t="s">
        <v>751</v>
      </c>
      <c r="BL232" s="29"/>
      <c r="BM232" s="29"/>
      <c r="BN232" s="30"/>
      <c r="BO232" s="55"/>
      <c r="BP232" s="29"/>
      <c r="BQ232" s="29"/>
      <c r="BR232" s="30"/>
      <c r="BS232" s="55"/>
      <c r="BT232" s="29"/>
      <c r="BU232" s="29"/>
      <c r="BV232" s="30"/>
      <c r="BW232" s="55"/>
      <c r="BX232" s="29"/>
      <c r="BY232" s="29"/>
      <c r="BZ232" s="30"/>
      <c r="CA232" s="31"/>
    </row>
    <row r="233" spans="1:79" hidden="1">
      <c r="A233" s="71" t="s">
        <v>1242</v>
      </c>
      <c r="B233" s="297"/>
      <c r="C233" s="307" t="s">
        <v>1038</v>
      </c>
      <c r="D233" s="299" t="str">
        <f t="shared" si="55"/>
        <v xml:space="preserve"> 504</v>
      </c>
      <c r="E233" s="308" t="s">
        <v>1038</v>
      </c>
      <c r="F233" s="301">
        <f t="shared" si="56"/>
        <v>0</v>
      </c>
      <c r="G233" s="302" t="s">
        <v>1063</v>
      </c>
      <c r="H233" s="302" t="s">
        <v>1076</v>
      </c>
      <c r="I233" s="302" t="s">
        <v>1131</v>
      </c>
      <c r="J233" s="313">
        <f t="shared" si="64"/>
        <v>110000</v>
      </c>
      <c r="K233" s="312">
        <f t="shared" si="63"/>
        <v>0</v>
      </c>
      <c r="L233" s="314" t="s">
        <v>67</v>
      </c>
      <c r="M233" s="316">
        <v>110000</v>
      </c>
      <c r="N233" s="316">
        <f>2000+200+350+600+3600</f>
        <v>6750</v>
      </c>
      <c r="O233" s="306">
        <f t="shared" si="61"/>
        <v>116750</v>
      </c>
      <c r="P233" s="295"/>
      <c r="Q233" s="292" t="s">
        <v>1227</v>
      </c>
      <c r="R233" s="22"/>
      <c r="S233" s="22">
        <f t="shared" si="50"/>
        <v>116750</v>
      </c>
      <c r="T233" s="22">
        <f t="shared" si="51"/>
        <v>166785.71428571429</v>
      </c>
      <c r="U233" s="23">
        <f t="shared" si="52"/>
        <v>190612.2448979592</v>
      </c>
      <c r="V233" s="24">
        <f t="shared" si="53"/>
        <v>0.12500000000000006</v>
      </c>
      <c r="W233" s="23">
        <f t="shared" si="57"/>
        <v>190700</v>
      </c>
      <c r="X233" s="164">
        <f t="shared" si="54"/>
        <v>0.30000000000000004</v>
      </c>
      <c r="Y233" s="25">
        <v>141429</v>
      </c>
      <c r="Z233" s="25">
        <f>T233-Y233</f>
        <v>25356.71428571429</v>
      </c>
      <c r="AA233" s="189">
        <f>Z233/Y233</f>
        <v>0.17928935568882118</v>
      </c>
      <c r="AB233" s="26"/>
      <c r="AC233" s="164"/>
      <c r="AD233" s="35"/>
      <c r="AE233" s="36"/>
      <c r="AF233" s="29"/>
      <c r="AG233" s="29"/>
      <c r="AH233" s="30"/>
      <c r="AI233" s="172" t="s">
        <v>608</v>
      </c>
      <c r="AJ233" s="29"/>
      <c r="AK233" s="29"/>
      <c r="AL233" s="30"/>
      <c r="AM233" s="172" t="s">
        <v>608</v>
      </c>
      <c r="AN233" s="29"/>
      <c r="AO233" s="29"/>
      <c r="AP233" s="30"/>
      <c r="AQ233" s="55"/>
      <c r="AR233" s="29"/>
      <c r="AS233" s="29"/>
      <c r="AT233" s="30"/>
      <c r="AU233" s="172" t="s">
        <v>608</v>
      </c>
      <c r="AV233" s="29"/>
      <c r="AW233" s="29"/>
      <c r="AX233" s="30"/>
      <c r="AY233" s="55"/>
      <c r="AZ233" s="29"/>
      <c r="BA233" s="29"/>
      <c r="BB233" s="30"/>
      <c r="BC233" s="172" t="s">
        <v>751</v>
      </c>
      <c r="BD233" s="29"/>
      <c r="BE233" s="29"/>
      <c r="BF233" s="30"/>
      <c r="BG233" s="55"/>
      <c r="BH233" s="29"/>
      <c r="BI233" s="29"/>
      <c r="BJ233" s="30"/>
      <c r="BK233" s="172" t="s">
        <v>751</v>
      </c>
      <c r="BL233" s="29"/>
      <c r="BM233" s="29"/>
      <c r="BN233" s="30"/>
      <c r="BO233" s="55"/>
      <c r="BP233" s="29"/>
      <c r="BQ233" s="29"/>
      <c r="BR233" s="30"/>
      <c r="BS233" s="55"/>
      <c r="BT233" s="29"/>
      <c r="BU233" s="29"/>
      <c r="BV233" s="30"/>
      <c r="BW233" s="55"/>
      <c r="BX233" s="29"/>
      <c r="BY233" s="29"/>
      <c r="BZ233" s="30"/>
      <c r="CA233" s="31"/>
    </row>
    <row r="234" spans="1:79" hidden="1">
      <c r="A234" s="71" t="s">
        <v>1242</v>
      </c>
      <c r="B234" s="297"/>
      <c r="C234" s="307" t="s">
        <v>672</v>
      </c>
      <c r="D234" s="299" t="str">
        <f t="shared" si="55"/>
        <v xml:space="preserve"> 205</v>
      </c>
      <c r="E234" s="309" t="s">
        <v>672</v>
      </c>
      <c r="F234" s="301">
        <f t="shared" si="56"/>
        <v>0</v>
      </c>
      <c r="G234" s="302" t="s">
        <v>35</v>
      </c>
      <c r="H234" s="302" t="s">
        <v>263</v>
      </c>
      <c r="I234" s="302" t="s">
        <v>1131</v>
      </c>
      <c r="J234" s="313">
        <f t="shared" si="64"/>
        <v>90000</v>
      </c>
      <c r="K234" s="312">
        <f t="shared" si="63"/>
        <v>0</v>
      </c>
      <c r="L234" s="314" t="s">
        <v>67</v>
      </c>
      <c r="M234" s="316">
        <v>90000</v>
      </c>
      <c r="N234" s="316">
        <f>2000+200+350+600+3600</f>
        <v>6750</v>
      </c>
      <c r="O234" s="306">
        <f t="shared" si="61"/>
        <v>96750</v>
      </c>
      <c r="P234" s="294"/>
      <c r="Q234" s="292" t="s">
        <v>1227</v>
      </c>
      <c r="R234" s="22"/>
      <c r="S234" s="22">
        <f t="shared" si="50"/>
        <v>96750</v>
      </c>
      <c r="T234" s="22">
        <f t="shared" si="51"/>
        <v>138214.28571428571</v>
      </c>
      <c r="U234" s="23">
        <f t="shared" si="52"/>
        <v>157959.18367346938</v>
      </c>
      <c r="V234" s="24">
        <f t="shared" si="53"/>
        <v>0.12499999999999997</v>
      </c>
      <c r="W234" s="23">
        <f t="shared" si="57"/>
        <v>158000</v>
      </c>
      <c r="X234" s="164">
        <f t="shared" si="54"/>
        <v>0.3</v>
      </c>
      <c r="Y234" s="25"/>
      <c r="Z234" s="25"/>
      <c r="AA234" s="25"/>
      <c r="AB234" s="34"/>
      <c r="AC234" s="164"/>
      <c r="AD234" s="35"/>
      <c r="AE234" s="36"/>
      <c r="AF234" s="29"/>
      <c r="AG234" s="29"/>
      <c r="AH234" s="30"/>
      <c r="AI234" s="172" t="s">
        <v>608</v>
      </c>
      <c r="AJ234" s="29"/>
      <c r="AK234" s="29"/>
      <c r="AL234" s="30"/>
      <c r="AM234" s="172" t="s">
        <v>608</v>
      </c>
      <c r="AN234" s="29"/>
      <c r="AO234" s="29"/>
      <c r="AP234" s="30"/>
      <c r="AQ234" s="55"/>
      <c r="AR234" s="29"/>
      <c r="AS234" s="29"/>
      <c r="AT234" s="30"/>
      <c r="AU234" s="172" t="s">
        <v>608</v>
      </c>
      <c r="AV234" s="29"/>
      <c r="AW234" s="29"/>
      <c r="AX234" s="30"/>
      <c r="AY234" s="55"/>
      <c r="AZ234" s="29"/>
      <c r="BA234" s="29"/>
      <c r="BB234" s="30"/>
      <c r="BC234" s="172" t="s">
        <v>751</v>
      </c>
      <c r="BD234" s="29"/>
      <c r="BE234" s="29"/>
      <c r="BF234" s="30"/>
      <c r="BG234" s="55"/>
      <c r="BH234" s="29"/>
      <c r="BI234" s="29"/>
      <c r="BJ234" s="30"/>
      <c r="BK234" s="172" t="s">
        <v>751</v>
      </c>
      <c r="BL234" s="29"/>
      <c r="BM234" s="29"/>
      <c r="BN234" s="30"/>
      <c r="BO234" s="55"/>
      <c r="BP234" s="29"/>
      <c r="BQ234" s="29"/>
      <c r="BR234" s="30"/>
      <c r="BS234" s="55"/>
      <c r="BT234" s="29"/>
      <c r="BU234" s="29"/>
      <c r="BV234" s="30"/>
      <c r="BW234" s="55"/>
      <c r="BX234" s="29"/>
      <c r="BY234" s="29"/>
      <c r="BZ234" s="30"/>
      <c r="CA234" s="31"/>
    </row>
    <row r="235" spans="1:79" hidden="1">
      <c r="A235" s="71" t="s">
        <v>1242</v>
      </c>
      <c r="B235" s="297"/>
      <c r="C235" s="307" t="s">
        <v>498</v>
      </c>
      <c r="D235" s="299" t="str">
        <f t="shared" si="55"/>
        <v xml:space="preserve"> 229</v>
      </c>
      <c r="E235" s="309" t="s">
        <v>498</v>
      </c>
      <c r="F235" s="301">
        <f t="shared" si="56"/>
        <v>0</v>
      </c>
      <c r="G235" s="302" t="s">
        <v>35</v>
      </c>
      <c r="H235" s="302" t="s">
        <v>1245</v>
      </c>
      <c r="I235" s="302" t="s">
        <v>1131</v>
      </c>
      <c r="J235" s="303"/>
      <c r="K235" s="312"/>
      <c r="L235" s="301"/>
      <c r="M235" s="316"/>
      <c r="N235" s="316"/>
      <c r="O235" s="306"/>
      <c r="P235" s="294"/>
      <c r="Q235" s="292"/>
      <c r="R235" s="22"/>
      <c r="S235" s="22"/>
      <c r="T235" s="22"/>
      <c r="U235" s="23"/>
      <c r="V235" s="24"/>
      <c r="W235" s="23"/>
      <c r="X235" s="164"/>
      <c r="Y235" s="25"/>
      <c r="Z235" s="25"/>
      <c r="AA235" s="25"/>
      <c r="AB235" s="34"/>
      <c r="AC235" s="164"/>
      <c r="AD235" s="35"/>
      <c r="AE235" s="36"/>
      <c r="AF235" s="29"/>
      <c r="AG235" s="29"/>
      <c r="AH235" s="30"/>
      <c r="AI235" s="172"/>
      <c r="AJ235" s="29"/>
      <c r="AK235" s="29"/>
      <c r="AL235" s="30"/>
      <c r="AM235" s="172"/>
      <c r="AN235" s="29"/>
      <c r="AO235" s="29"/>
      <c r="AP235" s="30"/>
      <c r="AQ235" s="55"/>
      <c r="AR235" s="29"/>
      <c r="AS235" s="29"/>
      <c r="AT235" s="30"/>
      <c r="AU235" s="172"/>
      <c r="AV235" s="29"/>
      <c r="AW235" s="29"/>
      <c r="AX235" s="30"/>
      <c r="AY235" s="55"/>
      <c r="AZ235" s="29"/>
      <c r="BA235" s="29"/>
      <c r="BB235" s="30"/>
      <c r="BC235" s="172"/>
      <c r="BD235" s="29"/>
      <c r="BE235" s="29"/>
      <c r="BF235" s="30"/>
      <c r="BG235" s="55"/>
      <c r="BH235" s="29"/>
      <c r="BI235" s="29"/>
      <c r="BJ235" s="30"/>
      <c r="BK235" s="172"/>
      <c r="BL235" s="29"/>
      <c r="BM235" s="29"/>
      <c r="BN235" s="30"/>
      <c r="BO235" s="55"/>
      <c r="BP235" s="29"/>
      <c r="BQ235" s="29"/>
      <c r="BR235" s="30"/>
      <c r="BS235" s="55"/>
      <c r="BT235" s="29"/>
      <c r="BU235" s="29"/>
      <c r="BV235" s="30"/>
      <c r="BW235" s="55"/>
      <c r="BX235" s="29"/>
      <c r="BY235" s="29"/>
      <c r="BZ235" s="30"/>
      <c r="CA235" s="31"/>
    </row>
    <row r="236" spans="1:79" hidden="1">
      <c r="A236" s="71" t="s">
        <v>1242</v>
      </c>
      <c r="B236" s="297"/>
      <c r="C236" s="307" t="s">
        <v>271</v>
      </c>
      <c r="D236" s="299" t="str">
        <f t="shared" si="55"/>
        <v xml:space="preserve"> 679</v>
      </c>
      <c r="E236" s="309" t="s">
        <v>271</v>
      </c>
      <c r="F236" s="301">
        <f t="shared" si="56"/>
        <v>0</v>
      </c>
      <c r="G236" s="302" t="s">
        <v>35</v>
      </c>
      <c r="H236" s="302" t="s">
        <v>1246</v>
      </c>
      <c r="I236" s="302" t="s">
        <v>1131</v>
      </c>
      <c r="J236" s="303"/>
      <c r="K236" s="312"/>
      <c r="L236" s="301"/>
      <c r="M236" s="316"/>
      <c r="N236" s="316"/>
      <c r="O236" s="306"/>
      <c r="P236" s="294"/>
      <c r="Q236" s="292"/>
      <c r="R236" s="22"/>
      <c r="S236" s="22"/>
      <c r="T236" s="22"/>
      <c r="U236" s="23"/>
      <c r="V236" s="24"/>
      <c r="W236" s="23"/>
      <c r="X236" s="164"/>
      <c r="Y236" s="25"/>
      <c r="Z236" s="25"/>
      <c r="AA236" s="25"/>
      <c r="AB236" s="34"/>
      <c r="AC236" s="164"/>
      <c r="AD236" s="35"/>
      <c r="AE236" s="36"/>
      <c r="AF236" s="29"/>
      <c r="AG236" s="29"/>
      <c r="AH236" s="30"/>
      <c r="AI236" s="172"/>
      <c r="AJ236" s="29"/>
      <c r="AK236" s="29"/>
      <c r="AL236" s="30"/>
      <c r="AM236" s="172"/>
      <c r="AN236" s="29"/>
      <c r="AO236" s="29"/>
      <c r="AP236" s="30"/>
      <c r="AQ236" s="55"/>
      <c r="AR236" s="29"/>
      <c r="AS236" s="29"/>
      <c r="AT236" s="30"/>
      <c r="AU236" s="172"/>
      <c r="AV236" s="29"/>
      <c r="AW236" s="29"/>
      <c r="AX236" s="30"/>
      <c r="AY236" s="55"/>
      <c r="AZ236" s="29"/>
      <c r="BA236" s="29"/>
      <c r="BB236" s="30"/>
      <c r="BC236" s="172"/>
      <c r="BD236" s="29"/>
      <c r="BE236" s="29"/>
      <c r="BF236" s="30"/>
      <c r="BG236" s="55"/>
      <c r="BH236" s="29"/>
      <c r="BI236" s="29"/>
      <c r="BJ236" s="30"/>
      <c r="BK236" s="172"/>
      <c r="BL236" s="29"/>
      <c r="BM236" s="29"/>
      <c r="BN236" s="30"/>
      <c r="BO236" s="55"/>
      <c r="BP236" s="29"/>
      <c r="BQ236" s="29"/>
      <c r="BR236" s="30"/>
      <c r="BS236" s="55"/>
      <c r="BT236" s="29"/>
      <c r="BU236" s="29"/>
      <c r="BV236" s="30"/>
      <c r="BW236" s="55"/>
      <c r="BX236" s="29"/>
      <c r="BY236" s="29"/>
      <c r="BZ236" s="30"/>
      <c r="CA236" s="31"/>
    </row>
    <row r="237" spans="1:79" hidden="1">
      <c r="A237" s="71" t="s">
        <v>1242</v>
      </c>
      <c r="B237" s="297"/>
      <c r="C237" s="307" t="s">
        <v>1039</v>
      </c>
      <c r="D237" s="299" t="str">
        <f t="shared" si="55"/>
        <v xml:space="preserve"> 255</v>
      </c>
      <c r="E237" s="308" t="s">
        <v>1039</v>
      </c>
      <c r="F237" s="301">
        <f t="shared" si="56"/>
        <v>0</v>
      </c>
      <c r="G237" s="302" t="s">
        <v>1063</v>
      </c>
      <c r="H237" s="302" t="s">
        <v>151</v>
      </c>
      <c r="I237" s="302" t="s">
        <v>1132</v>
      </c>
      <c r="J237" s="313">
        <f t="shared" si="64"/>
        <v>88000</v>
      </c>
      <c r="K237" s="312">
        <f t="shared" si="63"/>
        <v>0</v>
      </c>
      <c r="L237" s="314" t="s">
        <v>67</v>
      </c>
      <c r="M237" s="316">
        <v>88000</v>
      </c>
      <c r="N237" s="316">
        <f>2000+200+350+600+3000</f>
        <v>6150</v>
      </c>
      <c r="O237" s="306">
        <f t="shared" si="61"/>
        <v>94150</v>
      </c>
      <c r="P237" s="295"/>
      <c r="Q237" s="292" t="s">
        <v>1226</v>
      </c>
      <c r="R237" s="22"/>
      <c r="S237" s="22">
        <f t="shared" si="50"/>
        <v>94150</v>
      </c>
      <c r="T237" s="22">
        <f t="shared" si="51"/>
        <v>134500</v>
      </c>
      <c r="U237" s="23">
        <f t="shared" si="52"/>
        <v>153714.28571428571</v>
      </c>
      <c r="V237" s="24">
        <f t="shared" si="53"/>
        <v>0.12499999999999997</v>
      </c>
      <c r="W237" s="23">
        <f t="shared" si="57"/>
        <v>153800</v>
      </c>
      <c r="X237" s="164">
        <f t="shared" si="54"/>
        <v>0.3</v>
      </c>
      <c r="Y237" s="25"/>
      <c r="Z237" s="25"/>
      <c r="AA237" s="25"/>
      <c r="AB237" s="34"/>
      <c r="AC237" s="164"/>
      <c r="AD237" s="35"/>
      <c r="AE237" s="36"/>
      <c r="AF237" s="29"/>
      <c r="AG237" s="29"/>
      <c r="AH237" s="30"/>
      <c r="AI237" s="172" t="s">
        <v>608</v>
      </c>
      <c r="AJ237" s="29"/>
      <c r="AK237" s="29"/>
      <c r="AL237" s="30"/>
      <c r="AM237" s="172" t="s">
        <v>608</v>
      </c>
      <c r="AN237" s="29"/>
      <c r="AO237" s="29"/>
      <c r="AP237" s="30"/>
      <c r="AQ237" s="55"/>
      <c r="AR237" s="29"/>
      <c r="AS237" s="29"/>
      <c r="AT237" s="30"/>
      <c r="AU237" s="172" t="s">
        <v>608</v>
      </c>
      <c r="AV237" s="29"/>
      <c r="AW237" s="29"/>
      <c r="AX237" s="30"/>
      <c r="AY237" s="55"/>
      <c r="AZ237" s="29"/>
      <c r="BA237" s="29"/>
      <c r="BB237" s="30"/>
      <c r="BC237" s="172" t="s">
        <v>751</v>
      </c>
      <c r="BD237" s="29"/>
      <c r="BE237" s="29"/>
      <c r="BF237" s="30"/>
      <c r="BG237" s="55"/>
      <c r="BH237" s="29"/>
      <c r="BI237" s="29"/>
      <c r="BJ237" s="30"/>
      <c r="BK237" s="172" t="s">
        <v>751</v>
      </c>
      <c r="BL237" s="29"/>
      <c r="BM237" s="29"/>
      <c r="BN237" s="30"/>
      <c r="BO237" s="55"/>
      <c r="BP237" s="29"/>
      <c r="BQ237" s="29"/>
      <c r="BR237" s="30"/>
      <c r="BS237" s="55"/>
      <c r="BT237" s="29"/>
      <c r="BU237" s="29"/>
      <c r="BV237" s="30"/>
      <c r="BW237" s="55"/>
      <c r="BX237" s="29"/>
      <c r="BY237" s="29"/>
      <c r="BZ237" s="30"/>
      <c r="CA237" s="31"/>
    </row>
    <row r="238" spans="1:79" hidden="1">
      <c r="A238" s="71" t="s">
        <v>1242</v>
      </c>
      <c r="B238" s="297"/>
      <c r="C238" s="307" t="s">
        <v>1040</v>
      </c>
      <c r="D238" s="299" t="str">
        <f t="shared" si="55"/>
        <v xml:space="preserve"> 989</v>
      </c>
      <c r="E238" s="308" t="s">
        <v>1040</v>
      </c>
      <c r="F238" s="301">
        <f t="shared" si="56"/>
        <v>0</v>
      </c>
      <c r="G238" s="302" t="s">
        <v>1063</v>
      </c>
      <c r="H238" s="302" t="s">
        <v>151</v>
      </c>
      <c r="I238" s="302" t="s">
        <v>1132</v>
      </c>
      <c r="J238" s="313">
        <f t="shared" si="64"/>
        <v>82500</v>
      </c>
      <c r="K238" s="312">
        <f t="shared" si="63"/>
        <v>0</v>
      </c>
      <c r="L238" s="314" t="s">
        <v>67</v>
      </c>
      <c r="M238" s="316">
        <v>82500</v>
      </c>
      <c r="N238" s="316">
        <f t="shared" ref="N238:N240" si="65">2000+200+350+600+3000</f>
        <v>6150</v>
      </c>
      <c r="O238" s="306">
        <f t="shared" si="61"/>
        <v>88650</v>
      </c>
      <c r="P238" s="295"/>
      <c r="Q238" s="292" t="s">
        <v>1226</v>
      </c>
      <c r="R238" s="22"/>
      <c r="S238" s="22">
        <f t="shared" si="50"/>
        <v>88650</v>
      </c>
      <c r="T238" s="22">
        <f t="shared" si="51"/>
        <v>126642.85714285714</v>
      </c>
      <c r="U238" s="23">
        <f t="shared" si="52"/>
        <v>144734.69387755104</v>
      </c>
      <c r="V238" s="24">
        <f t="shared" si="53"/>
        <v>0.12500000000000008</v>
      </c>
      <c r="W238" s="23">
        <f t="shared" si="57"/>
        <v>144800</v>
      </c>
      <c r="X238" s="164">
        <f t="shared" si="54"/>
        <v>0.3</v>
      </c>
      <c r="Y238" s="25"/>
      <c r="Z238" s="25"/>
      <c r="AA238" s="25"/>
      <c r="AB238" s="34" t="s">
        <v>168</v>
      </c>
      <c r="AC238" s="164">
        <f>AVERAGE(X238,X238,X229,X228,X226,X224,X223,X222,X219,X217,X208,X207,X206)</f>
        <v>0.29999999999999993</v>
      </c>
      <c r="AD238" s="46">
        <f>AVERAGE(T206,T207,T208,T217,T219,T222,T223,T224,T226,T228,T229,T238)</f>
        <v>109642.85714285714</v>
      </c>
      <c r="AE238" s="28">
        <f>AVERAGE(AI238,AM238,AQ238,AU238,BC238,BK238,BO238,BS238,BW238)</f>
        <v>134651.16666666666</v>
      </c>
      <c r="AF238" s="180">
        <v>128244.89795918367</v>
      </c>
      <c r="AG238" s="181">
        <v>116119</v>
      </c>
      <c r="AH238" s="21">
        <f>(AD238-AF238)/AF238</f>
        <v>-0.14505092297899422</v>
      </c>
      <c r="AI238" s="59">
        <v>127375</v>
      </c>
      <c r="AJ238" s="180">
        <f>76153/0.7</f>
        <v>108790</v>
      </c>
      <c r="AK238" s="180">
        <v>95637</v>
      </c>
      <c r="AL238" s="21">
        <f>(AI238-AJ238)/AJ238</f>
        <v>0.1708337163342219</v>
      </c>
      <c r="AM238" s="59">
        <v>125857</v>
      </c>
      <c r="AN238" s="180">
        <f>73474/0.7</f>
        <v>104962.85714285714</v>
      </c>
      <c r="AO238" s="180">
        <v>103360</v>
      </c>
      <c r="AP238" s="21">
        <f>(AM238-AN238)/AN238</f>
        <v>0.19906225331409749</v>
      </c>
      <c r="AQ238" s="59">
        <v>124779</v>
      </c>
      <c r="AR238" s="180">
        <f>91770/0.7</f>
        <v>131100</v>
      </c>
      <c r="AS238" s="180">
        <v>123863</v>
      </c>
      <c r="AT238" s="21">
        <f>(AQ238-AR238)/AR238</f>
        <v>-4.8215102974828374E-2</v>
      </c>
      <c r="AU238" s="44">
        <v>143437</v>
      </c>
      <c r="AV238" s="180">
        <f>101459/0.7</f>
        <v>144941.42857142858</v>
      </c>
      <c r="AW238" s="180">
        <v>142400</v>
      </c>
      <c r="AX238" s="21">
        <f>(AU238-AV238)/AV238</f>
        <v>-1.037956218768178E-2</v>
      </c>
      <c r="AY238" s="57"/>
      <c r="AZ238" s="29"/>
      <c r="BA238" s="29"/>
      <c r="BB238" s="30"/>
      <c r="BC238" s="59">
        <v>130211</v>
      </c>
      <c r="BD238" s="180">
        <v>120155</v>
      </c>
      <c r="BE238" s="180">
        <v>113724</v>
      </c>
      <c r="BF238" s="21">
        <f>(BC238-BD238)/BD238</f>
        <v>8.3691897965128381E-2</v>
      </c>
      <c r="BG238" s="57"/>
      <c r="BH238" s="29"/>
      <c r="BI238" s="29"/>
      <c r="BJ238" s="30"/>
      <c r="BK238" s="44">
        <v>156248</v>
      </c>
      <c r="BL238" s="180">
        <f>100927/0.7</f>
        <v>144181.42857142858</v>
      </c>
      <c r="BM238" s="180">
        <v>131000</v>
      </c>
      <c r="BN238" s="21">
        <f>(BK238-BL238)/BL238</f>
        <v>8.3690191920893262E-2</v>
      </c>
      <c r="BO238" s="57"/>
      <c r="BP238" s="180">
        <f>85070/0.7</f>
        <v>121528.57142857143</v>
      </c>
      <c r="BQ238" s="29"/>
      <c r="BR238" s="30"/>
      <c r="BS238" s="55"/>
      <c r="BT238" s="29"/>
      <c r="BU238" s="29"/>
      <c r="BV238" s="30"/>
      <c r="BW238" s="55"/>
      <c r="BX238" s="29"/>
      <c r="BY238" s="29"/>
      <c r="BZ238" s="30"/>
      <c r="CA238" s="31"/>
    </row>
    <row r="239" spans="1:79" hidden="1">
      <c r="A239" s="71" t="s">
        <v>1242</v>
      </c>
      <c r="B239" s="297"/>
      <c r="C239" s="307" t="s">
        <v>1041</v>
      </c>
      <c r="D239" s="299" t="str">
        <f t="shared" si="55"/>
        <v xml:space="preserve"> 399</v>
      </c>
      <c r="E239" s="308" t="s">
        <v>1041</v>
      </c>
      <c r="F239" s="301">
        <f t="shared" si="56"/>
        <v>0</v>
      </c>
      <c r="G239" s="302" t="s">
        <v>1063</v>
      </c>
      <c r="H239" s="302" t="s">
        <v>263</v>
      </c>
      <c r="I239" s="302" t="s">
        <v>1132</v>
      </c>
      <c r="J239" s="313">
        <f t="shared" si="64"/>
        <v>88000</v>
      </c>
      <c r="K239" s="312">
        <f t="shared" si="63"/>
        <v>0</v>
      </c>
      <c r="L239" s="314" t="s">
        <v>67</v>
      </c>
      <c r="M239" s="316">
        <v>88000</v>
      </c>
      <c r="N239" s="316">
        <f t="shared" si="65"/>
        <v>6150</v>
      </c>
      <c r="O239" s="306">
        <f t="shared" si="61"/>
        <v>94150</v>
      </c>
      <c r="P239" s="295"/>
      <c r="Q239" s="292" t="s">
        <v>1226</v>
      </c>
      <c r="R239" s="22"/>
      <c r="S239" s="22">
        <f t="shared" si="50"/>
        <v>94150</v>
      </c>
      <c r="T239" s="22">
        <f t="shared" si="51"/>
        <v>134500</v>
      </c>
      <c r="U239" s="23">
        <f t="shared" si="52"/>
        <v>153714.28571428571</v>
      </c>
      <c r="V239" s="24">
        <f t="shared" si="53"/>
        <v>0.12499999999999997</v>
      </c>
      <c r="W239" s="23">
        <f t="shared" si="57"/>
        <v>153800</v>
      </c>
      <c r="X239" s="164">
        <f t="shared" si="54"/>
        <v>0.3</v>
      </c>
      <c r="Y239" s="25">
        <v>145714</v>
      </c>
      <c r="Z239" s="25">
        <f>T239-Y239</f>
        <v>-11214</v>
      </c>
      <c r="AA239" s="189">
        <f>Z239/Y239</f>
        <v>-7.6958974429361629E-2</v>
      </c>
      <c r="AB239" s="26"/>
      <c r="AC239" s="164"/>
      <c r="AD239" s="35"/>
      <c r="AE239" s="36"/>
      <c r="AF239" s="29"/>
      <c r="AG239" s="29"/>
      <c r="AH239" s="30"/>
      <c r="AI239" s="172" t="s">
        <v>608</v>
      </c>
      <c r="AJ239" s="29"/>
      <c r="AK239" s="29"/>
      <c r="AL239" s="30"/>
      <c r="AM239" s="172" t="s">
        <v>608</v>
      </c>
      <c r="AN239" s="29"/>
      <c r="AO239" s="29"/>
      <c r="AP239" s="30"/>
      <c r="AQ239" s="55"/>
      <c r="AR239" s="29"/>
      <c r="AS239" s="29"/>
      <c r="AT239" s="30"/>
      <c r="AU239" s="172" t="s">
        <v>608</v>
      </c>
      <c r="AV239" s="29"/>
      <c r="AW239" s="29"/>
      <c r="AX239" s="30"/>
      <c r="AY239" s="55"/>
      <c r="AZ239" s="29"/>
      <c r="BA239" s="29"/>
      <c r="BB239" s="30"/>
      <c r="BC239" s="172" t="s">
        <v>751</v>
      </c>
      <c r="BD239" s="29"/>
      <c r="BE239" s="29"/>
      <c r="BF239" s="30"/>
      <c r="BG239" s="55"/>
      <c r="BH239" s="29"/>
      <c r="BI239" s="29"/>
      <c r="BJ239" s="30"/>
      <c r="BK239" s="172" t="s">
        <v>751</v>
      </c>
      <c r="BL239" s="29"/>
      <c r="BM239" s="29"/>
      <c r="BN239" s="30"/>
      <c r="BO239" s="55"/>
      <c r="BP239" s="29"/>
      <c r="BQ239" s="29"/>
      <c r="BR239" s="30"/>
      <c r="BS239" s="55"/>
      <c r="BT239" s="29"/>
      <c r="BU239" s="29"/>
      <c r="BV239" s="30"/>
      <c r="BW239" s="55"/>
      <c r="BX239" s="29"/>
      <c r="BY239" s="29"/>
      <c r="BZ239" s="30"/>
      <c r="CA239" s="31"/>
    </row>
    <row r="240" spans="1:79" hidden="1">
      <c r="A240" s="71" t="s">
        <v>1242</v>
      </c>
      <c r="B240" s="297"/>
      <c r="C240" s="307" t="s">
        <v>1042</v>
      </c>
      <c r="D240" s="299" t="str">
        <f t="shared" si="55"/>
        <v xml:space="preserve"> 555</v>
      </c>
      <c r="E240" s="308" t="s">
        <v>1042</v>
      </c>
      <c r="F240" s="301">
        <f t="shared" si="56"/>
        <v>0</v>
      </c>
      <c r="G240" s="302" t="s">
        <v>1063</v>
      </c>
      <c r="H240" s="302" t="s">
        <v>151</v>
      </c>
      <c r="I240" s="302" t="s">
        <v>1132</v>
      </c>
      <c r="J240" s="313">
        <f t="shared" si="64"/>
        <v>88000</v>
      </c>
      <c r="K240" s="312">
        <f t="shared" si="63"/>
        <v>0</v>
      </c>
      <c r="L240" s="314" t="s">
        <v>67</v>
      </c>
      <c r="M240" s="316">
        <v>88000</v>
      </c>
      <c r="N240" s="316">
        <f t="shared" si="65"/>
        <v>6150</v>
      </c>
      <c r="O240" s="306">
        <f t="shared" si="61"/>
        <v>94150</v>
      </c>
      <c r="P240" s="295"/>
      <c r="Q240" s="292" t="s">
        <v>1226</v>
      </c>
      <c r="R240" s="22"/>
      <c r="S240" s="22">
        <f t="shared" si="50"/>
        <v>94150</v>
      </c>
      <c r="T240" s="22">
        <f t="shared" si="51"/>
        <v>134500</v>
      </c>
      <c r="U240" s="23">
        <f t="shared" si="52"/>
        <v>153714.28571428571</v>
      </c>
      <c r="V240" s="24">
        <f t="shared" si="53"/>
        <v>0.12499999999999997</v>
      </c>
      <c r="W240" s="23">
        <f t="shared" si="57"/>
        <v>153800</v>
      </c>
      <c r="X240" s="164">
        <f t="shared" si="54"/>
        <v>0.3</v>
      </c>
      <c r="Y240" s="25">
        <v>137143</v>
      </c>
      <c r="Z240" s="25">
        <f>T240-Y240</f>
        <v>-2643</v>
      </c>
      <c r="AA240" s="189">
        <f>Z240/Y240</f>
        <v>-1.927185492515112E-2</v>
      </c>
      <c r="AB240" s="34" t="s">
        <v>98</v>
      </c>
      <c r="AC240" s="164">
        <f>AVERAGE(X240,X239,X239,X237,X234,X233,X232,X231,X230)</f>
        <v>0.30000000000000004</v>
      </c>
      <c r="AD240" s="208">
        <f>AVERAGE(T230,T231,T232,T233,T234,T237,T239,T240)</f>
        <v>134598.21428571429</v>
      </c>
      <c r="AE240" s="28">
        <f>AVERAGE(AI240,AM240,AQ240,AU240,BC240,BK240,BO240,BS240,BW240)</f>
        <v>150947.79999999999</v>
      </c>
      <c r="AF240" s="180">
        <v>141190.47619047618</v>
      </c>
      <c r="AG240" s="181">
        <v>136429</v>
      </c>
      <c r="AH240" s="21">
        <f>(AD240-AF240)/AF240</f>
        <v>-4.6690556492411391E-2</v>
      </c>
      <c r="AI240" s="59">
        <v>131390</v>
      </c>
      <c r="AJ240" s="180">
        <f>79135/0.7</f>
        <v>113050</v>
      </c>
      <c r="AK240" s="180">
        <v>127330</v>
      </c>
      <c r="AL240" s="21">
        <f>(AI240-AJ240)/AJ240</f>
        <v>0.16222910216718267</v>
      </c>
      <c r="AM240" s="44">
        <v>141225</v>
      </c>
      <c r="AN240" s="180">
        <f>85563/0.7</f>
        <v>122232.85714285714</v>
      </c>
      <c r="AO240" s="180">
        <v>119000</v>
      </c>
      <c r="AP240" s="21">
        <f>(AM240-AN240)/AN240</f>
        <v>0.15537673994600468</v>
      </c>
      <c r="AQ240" s="55"/>
      <c r="AR240" s="180">
        <f>114345/0.7</f>
        <v>163350</v>
      </c>
      <c r="AS240" s="180">
        <v>163350</v>
      </c>
      <c r="AT240" s="21">
        <f>(AQ240-AR240)/AR240</f>
        <v>-1</v>
      </c>
      <c r="AU240" s="44">
        <v>162000</v>
      </c>
      <c r="AV240" s="180">
        <f>112849/0.7</f>
        <v>161212.85714285716</v>
      </c>
      <c r="AW240" s="180">
        <v>161213</v>
      </c>
      <c r="AX240" s="21">
        <f>(AU240-AV240)/AV240</f>
        <v>4.882630772093579E-3</v>
      </c>
      <c r="AY240" s="57"/>
      <c r="AZ240" s="29"/>
      <c r="BA240" s="29"/>
      <c r="BB240" s="30"/>
      <c r="BC240" s="59">
        <v>137124</v>
      </c>
      <c r="BD240" s="180">
        <v>136593</v>
      </c>
      <c r="BE240" s="180">
        <v>136044</v>
      </c>
      <c r="BF240" s="51">
        <f>(BC240-BD240)/BD240</f>
        <v>3.887461290110035E-3</v>
      </c>
      <c r="BG240" s="57"/>
      <c r="BH240" s="29"/>
      <c r="BI240" s="29"/>
      <c r="BJ240" s="30"/>
      <c r="BK240" s="44">
        <v>183000</v>
      </c>
      <c r="BL240" s="180">
        <f>114567/0.7</f>
        <v>163667.14285714287</v>
      </c>
      <c r="BM240" s="180">
        <v>140500</v>
      </c>
      <c r="BN240" s="21">
        <f>(BK240-BL240)/BL240</f>
        <v>0.11812301971771967</v>
      </c>
      <c r="BO240" s="57"/>
      <c r="BP240" s="180">
        <f>115623/0.7</f>
        <v>165175.71428571429</v>
      </c>
      <c r="BQ240" s="180">
        <v>157321</v>
      </c>
      <c r="BR240" s="21">
        <f>(BP240-BQ240)/BQ240</f>
        <v>4.9927945320168893E-2</v>
      </c>
      <c r="BS240" s="55"/>
      <c r="BT240" s="29"/>
      <c r="BU240" s="29"/>
      <c r="BV240" s="30"/>
      <c r="BW240" s="55"/>
      <c r="BX240" s="29"/>
      <c r="BY240" s="29"/>
      <c r="BZ240" s="30"/>
      <c r="CA240" s="31"/>
    </row>
    <row r="241" spans="1:79" hidden="1">
      <c r="A241" s="71" t="s">
        <v>1242</v>
      </c>
      <c r="B241" s="297"/>
      <c r="C241" s="307" t="s">
        <v>679</v>
      </c>
      <c r="D241" s="299" t="str">
        <f t="shared" si="55"/>
        <v xml:space="preserve"> 878</v>
      </c>
      <c r="E241" s="308" t="s">
        <v>679</v>
      </c>
      <c r="F241" s="301">
        <f t="shared" si="56"/>
        <v>0</v>
      </c>
      <c r="G241" s="302" t="s">
        <v>35</v>
      </c>
      <c r="H241" s="302" t="s">
        <v>1064</v>
      </c>
      <c r="I241" s="302" t="s">
        <v>1132</v>
      </c>
      <c r="J241" s="313">
        <f t="shared" si="64"/>
        <v>80000</v>
      </c>
      <c r="K241" s="312">
        <f t="shared" si="63"/>
        <v>0</v>
      </c>
      <c r="L241" s="314" t="s">
        <v>67</v>
      </c>
      <c r="M241" s="316">
        <v>80000</v>
      </c>
      <c r="N241" s="316">
        <f>2000+200+600+750+3000</f>
        <v>6550</v>
      </c>
      <c r="O241" s="306">
        <f t="shared" si="61"/>
        <v>86550</v>
      </c>
      <c r="P241" s="294"/>
      <c r="Q241" s="292" t="s">
        <v>1228</v>
      </c>
      <c r="R241" s="22"/>
      <c r="S241" s="22">
        <f t="shared" si="50"/>
        <v>86550</v>
      </c>
      <c r="T241" s="22">
        <f t="shared" si="51"/>
        <v>123642.85714285714</v>
      </c>
      <c r="U241" s="23">
        <f t="shared" si="52"/>
        <v>141306.12244897959</v>
      </c>
      <c r="V241" s="24">
        <f t="shared" si="53"/>
        <v>0.12499999999999994</v>
      </c>
      <c r="W241" s="23">
        <f t="shared" si="57"/>
        <v>141400</v>
      </c>
      <c r="X241" s="164">
        <f t="shared" si="54"/>
        <v>0.3</v>
      </c>
      <c r="Y241" s="25">
        <v>130286</v>
      </c>
      <c r="Z241" s="25">
        <f>T241-Y241</f>
        <v>-6643.1428571428551</v>
      </c>
      <c r="AA241" s="189">
        <f>Z241/Y241</f>
        <v>-5.0988923269905097E-2</v>
      </c>
      <c r="AB241" s="26" t="s">
        <v>270</v>
      </c>
      <c r="AC241" s="164">
        <f>X241</f>
        <v>0.3</v>
      </c>
      <c r="AD241" s="46">
        <f>T241</f>
        <v>123642.85714285714</v>
      </c>
      <c r="AE241" s="28">
        <f>AVERAGE(AI241,AM241,AQ241,AU241,BC241,BK241,BO241,BS241,BW241)</f>
        <v>141916.66666666666</v>
      </c>
      <c r="AF241" s="180">
        <v>125857.14285714287</v>
      </c>
      <c r="AG241" s="181">
        <v>120952</v>
      </c>
      <c r="AH241" s="21">
        <f>(AD241-AF241)/AF241</f>
        <v>-1.7593643586833223E-2</v>
      </c>
      <c r="AI241" s="59">
        <v>118702</v>
      </c>
      <c r="AJ241" s="180">
        <f>83062/0.7</f>
        <v>118660.00000000001</v>
      </c>
      <c r="AK241" s="180">
        <v>113900</v>
      </c>
      <c r="AL241" s="60">
        <f>(AI241-AJ241)/AJ241</f>
        <v>3.5395246923972226E-4</v>
      </c>
      <c r="AM241" s="59">
        <v>127549</v>
      </c>
      <c r="AN241" s="180">
        <f>91446/0.7</f>
        <v>130637.14285714287</v>
      </c>
      <c r="AO241" s="180">
        <v>116591</v>
      </c>
      <c r="AP241" s="21">
        <f>(AM241-AN241)/AN241</f>
        <v>-2.3639087548936077E-2</v>
      </c>
      <c r="AQ241" s="55"/>
      <c r="AR241" s="29"/>
      <c r="AS241" s="180">
        <v>139500</v>
      </c>
      <c r="AT241" s="30"/>
      <c r="AU241" s="55"/>
      <c r="AV241" s="29"/>
      <c r="AW241" s="29"/>
      <c r="AX241" s="30"/>
      <c r="AY241" s="55"/>
      <c r="AZ241" s="29"/>
      <c r="BA241" s="29"/>
      <c r="BB241" s="30"/>
      <c r="BC241" s="55"/>
      <c r="BD241" s="29"/>
      <c r="BE241" s="180">
        <v>131220</v>
      </c>
      <c r="BF241" s="30"/>
      <c r="BG241" s="55"/>
      <c r="BH241" s="29"/>
      <c r="BI241" s="29"/>
      <c r="BJ241" s="30"/>
      <c r="BK241" s="44">
        <v>179499</v>
      </c>
      <c r="BL241" s="180">
        <f>116900/0.7</f>
        <v>167000</v>
      </c>
      <c r="BM241" s="180">
        <v>169333</v>
      </c>
      <c r="BN241" s="21">
        <f>(BK241-BL241)/BL241</f>
        <v>7.4844311377245509E-2</v>
      </c>
      <c r="BO241" s="57"/>
      <c r="BP241" s="180">
        <f>97082/0.7</f>
        <v>138688.57142857145</v>
      </c>
      <c r="BQ241" s="29"/>
      <c r="BR241" s="30"/>
      <c r="BS241" s="55"/>
      <c r="BT241" s="29"/>
      <c r="BU241" s="29"/>
      <c r="BV241" s="30"/>
      <c r="BW241" s="55"/>
      <c r="BX241" s="29"/>
      <c r="BY241" s="29"/>
      <c r="BZ241" s="30"/>
      <c r="CA241" s="31"/>
    </row>
    <row r="242" spans="1:79" hidden="1">
      <c r="A242" s="71" t="s">
        <v>1242</v>
      </c>
      <c r="B242" s="297"/>
      <c r="C242" s="307" t="s">
        <v>1043</v>
      </c>
      <c r="D242" s="299" t="str">
        <f t="shared" si="55"/>
        <v xml:space="preserve"> 546</v>
      </c>
      <c r="E242" s="308" t="s">
        <v>1043</v>
      </c>
      <c r="F242" s="301">
        <f t="shared" si="56"/>
        <v>0</v>
      </c>
      <c r="G242" s="302" t="s">
        <v>1063</v>
      </c>
      <c r="H242" s="302" t="s">
        <v>1064</v>
      </c>
      <c r="I242" s="302" t="s">
        <v>1132</v>
      </c>
      <c r="J242" s="313">
        <f t="shared" si="64"/>
        <v>80000</v>
      </c>
      <c r="K242" s="312">
        <f t="shared" si="63"/>
        <v>0</v>
      </c>
      <c r="L242" s="314" t="s">
        <v>67</v>
      </c>
      <c r="M242" s="316">
        <v>80000</v>
      </c>
      <c r="N242" s="316">
        <f>2000+200+600+750+3000</f>
        <v>6550</v>
      </c>
      <c r="O242" s="306">
        <f t="shared" si="61"/>
        <v>86550</v>
      </c>
      <c r="P242" s="295"/>
      <c r="Q242" s="292" t="s">
        <v>1228</v>
      </c>
      <c r="R242" s="22"/>
      <c r="S242" s="22">
        <f t="shared" si="50"/>
        <v>86550</v>
      </c>
      <c r="T242" s="22">
        <f t="shared" si="51"/>
        <v>123642.85714285714</v>
      </c>
      <c r="U242" s="23">
        <f t="shared" si="52"/>
        <v>141306.12244897959</v>
      </c>
      <c r="V242" s="24">
        <f t="shared" si="53"/>
        <v>0.12499999999999994</v>
      </c>
      <c r="W242" s="23">
        <f t="shared" si="57"/>
        <v>141400</v>
      </c>
      <c r="X242" s="164">
        <f t="shared" si="54"/>
        <v>0.3</v>
      </c>
      <c r="Y242" s="25"/>
      <c r="Z242" s="25"/>
      <c r="AA242" s="37"/>
      <c r="AB242" s="26"/>
      <c r="AC242" s="164"/>
      <c r="AD242" s="35"/>
      <c r="AE242" s="36"/>
      <c r="AF242" s="29"/>
      <c r="AG242" s="29"/>
      <c r="AH242" s="30"/>
      <c r="AI242" s="172" t="s">
        <v>608</v>
      </c>
      <c r="AJ242" s="29"/>
      <c r="AK242" s="29"/>
      <c r="AL242" s="30"/>
      <c r="AM242" s="172" t="s">
        <v>608</v>
      </c>
      <c r="AN242" s="29"/>
      <c r="AO242" s="29"/>
      <c r="AP242" s="30"/>
      <c r="AQ242" s="55"/>
      <c r="AR242" s="29"/>
      <c r="AS242" s="29"/>
      <c r="AT242" s="30"/>
      <c r="AU242" s="55"/>
      <c r="AV242" s="29"/>
      <c r="AW242" s="29"/>
      <c r="AX242" s="30"/>
      <c r="AY242" s="55"/>
      <c r="AZ242" s="29"/>
      <c r="BA242" s="29"/>
      <c r="BB242" s="30"/>
      <c r="BC242" s="172" t="s">
        <v>751</v>
      </c>
      <c r="BD242" s="29"/>
      <c r="BE242" s="29"/>
      <c r="BF242" s="30"/>
      <c r="BG242" s="55"/>
      <c r="BH242" s="29"/>
      <c r="BI242" s="29"/>
      <c r="BJ242" s="30"/>
      <c r="BK242" s="172" t="s">
        <v>751</v>
      </c>
      <c r="BL242" s="29"/>
      <c r="BM242" s="29"/>
      <c r="BN242" s="30"/>
      <c r="BO242" s="55"/>
      <c r="BP242" s="29"/>
      <c r="BQ242" s="29"/>
      <c r="BR242" s="30"/>
      <c r="BS242" s="55"/>
      <c r="BT242" s="29"/>
      <c r="BU242" s="29"/>
      <c r="BV242" s="30"/>
      <c r="BW242" s="55"/>
      <c r="BX242" s="29"/>
      <c r="BY242" s="29"/>
      <c r="BZ242" s="30"/>
      <c r="CA242" s="31"/>
    </row>
    <row r="243" spans="1:79" hidden="1">
      <c r="A243" s="71" t="s">
        <v>1242</v>
      </c>
      <c r="B243" s="297"/>
      <c r="C243" s="307" t="s">
        <v>1044</v>
      </c>
      <c r="D243" s="299" t="str">
        <f t="shared" si="55"/>
        <v xml:space="preserve"> 641</v>
      </c>
      <c r="E243" s="308" t="s">
        <v>1044</v>
      </c>
      <c r="F243" s="301">
        <f t="shared" si="56"/>
        <v>0</v>
      </c>
      <c r="G243" s="307" t="s">
        <v>1044</v>
      </c>
      <c r="H243" s="302" t="s">
        <v>1089</v>
      </c>
      <c r="I243" s="302" t="s">
        <v>1133</v>
      </c>
      <c r="J243" s="313">
        <f t="shared" si="64"/>
        <v>70000</v>
      </c>
      <c r="K243" s="312">
        <f t="shared" si="63"/>
        <v>0</v>
      </c>
      <c r="L243" s="314" t="s">
        <v>67</v>
      </c>
      <c r="M243" s="316">
        <v>70000</v>
      </c>
      <c r="N243" s="316">
        <f>2000+200+250+600+1000+3600+450</f>
        <v>8100</v>
      </c>
      <c r="O243" s="306">
        <f t="shared" si="61"/>
        <v>78100</v>
      </c>
      <c r="P243" s="294"/>
      <c r="Q243" s="292" t="s">
        <v>1229</v>
      </c>
      <c r="R243" s="22"/>
      <c r="S243" s="22">
        <f t="shared" si="50"/>
        <v>78100</v>
      </c>
      <c r="T243" s="22">
        <f t="shared" si="51"/>
        <v>111571.42857142858</v>
      </c>
      <c r="U243" s="23">
        <f t="shared" si="52"/>
        <v>127510.20408163266</v>
      </c>
      <c r="V243" s="24">
        <f t="shared" si="53"/>
        <v>0.125</v>
      </c>
      <c r="W243" s="23">
        <f t="shared" si="57"/>
        <v>127600</v>
      </c>
      <c r="X243" s="164">
        <f t="shared" si="54"/>
        <v>0.30000000000000004</v>
      </c>
      <c r="Y243" s="25">
        <v>158143</v>
      </c>
      <c r="Z243" s="25">
        <f>T243-Y243</f>
        <v>-46571.57142857142</v>
      </c>
      <c r="AA243" s="189">
        <f>Z243/Y243</f>
        <v>-0.2944902488796306</v>
      </c>
      <c r="AB243" s="26"/>
      <c r="AC243" s="164"/>
      <c r="AD243" s="35"/>
      <c r="AE243" s="36"/>
      <c r="AF243" s="29"/>
      <c r="AG243" s="29"/>
      <c r="AH243" s="30"/>
      <c r="AI243" s="172" t="s">
        <v>608</v>
      </c>
      <c r="AJ243" s="29"/>
      <c r="AK243" s="29"/>
      <c r="AL243" s="30"/>
      <c r="AM243" s="172" t="s">
        <v>608</v>
      </c>
      <c r="AN243" s="29"/>
      <c r="AO243" s="29"/>
      <c r="AP243" s="30"/>
      <c r="AQ243" s="55"/>
      <c r="AR243" s="29"/>
      <c r="AS243" s="29"/>
      <c r="AT243" s="30"/>
      <c r="AU243" s="55"/>
      <c r="AV243" s="29"/>
      <c r="AW243" s="29"/>
      <c r="AX243" s="30"/>
      <c r="AY243" s="55"/>
      <c r="AZ243" s="29"/>
      <c r="BA243" s="29"/>
      <c r="BB243" s="30"/>
      <c r="BC243" s="172" t="s">
        <v>751</v>
      </c>
      <c r="BD243" s="29"/>
      <c r="BE243" s="29"/>
      <c r="BF243" s="30"/>
      <c r="BG243" s="55"/>
      <c r="BH243" s="29"/>
      <c r="BI243" s="29"/>
      <c r="BJ243" s="30"/>
      <c r="BK243" s="172" t="s">
        <v>751</v>
      </c>
      <c r="BL243" s="29"/>
      <c r="BM243" s="29"/>
      <c r="BN243" s="30"/>
      <c r="BO243" s="55"/>
      <c r="BP243" s="29"/>
      <c r="BQ243" s="29"/>
      <c r="BR243" s="30"/>
      <c r="BS243" s="55"/>
      <c r="BT243" s="29"/>
      <c r="BU243" s="29"/>
      <c r="BV243" s="30"/>
      <c r="BW243" s="55"/>
      <c r="BX243" s="29"/>
      <c r="BY243" s="29"/>
      <c r="BZ243" s="30"/>
      <c r="CA243" s="31"/>
    </row>
    <row r="244" spans="1:79" hidden="1">
      <c r="A244" s="71" t="s">
        <v>1242</v>
      </c>
      <c r="B244" s="297"/>
      <c r="C244" s="307" t="s">
        <v>1045</v>
      </c>
      <c r="D244" s="299" t="str">
        <f t="shared" si="55"/>
        <v xml:space="preserve"> 680</v>
      </c>
      <c r="E244" s="308" t="s">
        <v>1045</v>
      </c>
      <c r="F244" s="301">
        <f t="shared" si="56"/>
        <v>0</v>
      </c>
      <c r="G244" s="302" t="s">
        <v>1063</v>
      </c>
      <c r="H244" s="302" t="s">
        <v>1089</v>
      </c>
      <c r="I244" s="302" t="s">
        <v>1133</v>
      </c>
      <c r="J244" s="313">
        <f t="shared" si="64"/>
        <v>67500</v>
      </c>
      <c r="K244" s="312">
        <f t="shared" si="63"/>
        <v>0</v>
      </c>
      <c r="L244" s="314" t="s">
        <v>67</v>
      </c>
      <c r="M244" s="316">
        <v>67500</v>
      </c>
      <c r="N244" s="316">
        <f t="shared" ref="N244:N245" si="66">2000+200+250+600+1000+3600+450</f>
        <v>8100</v>
      </c>
      <c r="O244" s="306">
        <f t="shared" si="61"/>
        <v>75600</v>
      </c>
      <c r="P244" s="294"/>
      <c r="Q244" s="292" t="s">
        <v>1229</v>
      </c>
      <c r="R244" s="22"/>
      <c r="S244" s="22">
        <f t="shared" si="50"/>
        <v>75600</v>
      </c>
      <c r="T244" s="22">
        <f t="shared" si="51"/>
        <v>108000</v>
      </c>
      <c r="U244" s="23">
        <f t="shared" si="52"/>
        <v>123428.57142857143</v>
      </c>
      <c r="V244" s="24">
        <f t="shared" si="53"/>
        <v>0.12500000000000006</v>
      </c>
      <c r="W244" s="23">
        <f t="shared" si="57"/>
        <v>123500</v>
      </c>
      <c r="X244" s="164">
        <f t="shared" si="54"/>
        <v>0.3</v>
      </c>
      <c r="Y244" s="25"/>
      <c r="Z244" s="25"/>
      <c r="AA244" s="25"/>
      <c r="AB244" s="34"/>
      <c r="AC244" s="164"/>
      <c r="AD244" s="35"/>
      <c r="AE244" s="36"/>
      <c r="AF244" s="29"/>
      <c r="AG244" s="29"/>
      <c r="AH244" s="30"/>
      <c r="AI244" s="172" t="s">
        <v>608</v>
      </c>
      <c r="AJ244" s="29"/>
      <c r="AK244" s="29"/>
      <c r="AL244" s="30"/>
      <c r="AM244" s="172" t="s">
        <v>608</v>
      </c>
      <c r="AN244" s="29"/>
      <c r="AO244" s="29"/>
      <c r="AP244" s="30"/>
      <c r="AQ244" s="55"/>
      <c r="AR244" s="29"/>
      <c r="AS244" s="29"/>
      <c r="AT244" s="30"/>
      <c r="AU244" s="55"/>
      <c r="AV244" s="29"/>
      <c r="AW244" s="29"/>
      <c r="AX244" s="30"/>
      <c r="AY244" s="55"/>
      <c r="AZ244" s="29"/>
      <c r="BA244" s="29"/>
      <c r="BB244" s="30"/>
      <c r="BC244" s="172" t="s">
        <v>751</v>
      </c>
      <c r="BD244" s="29"/>
      <c r="BE244" s="29"/>
      <c r="BF244" s="30"/>
      <c r="BG244" s="55"/>
      <c r="BH244" s="29"/>
      <c r="BI244" s="29"/>
      <c r="BJ244" s="30"/>
      <c r="BK244" s="172" t="s">
        <v>751</v>
      </c>
      <c r="BL244" s="29"/>
      <c r="BM244" s="29"/>
      <c r="BN244" s="30"/>
      <c r="BO244" s="55"/>
      <c r="BP244" s="29"/>
      <c r="BQ244" s="29"/>
      <c r="BR244" s="30"/>
      <c r="BS244" s="55"/>
      <c r="BT244" s="29"/>
      <c r="BU244" s="29"/>
      <c r="BV244" s="30"/>
      <c r="BW244" s="55"/>
      <c r="BX244" s="29"/>
      <c r="BY244" s="29"/>
      <c r="BZ244" s="30"/>
      <c r="CA244" s="31"/>
    </row>
    <row r="245" spans="1:79" hidden="1">
      <c r="A245" s="71" t="s">
        <v>1242</v>
      </c>
      <c r="B245" s="297"/>
      <c r="C245" s="307" t="s">
        <v>1046</v>
      </c>
      <c r="D245" s="299" t="str">
        <f t="shared" si="55"/>
        <v xml:space="preserve"> 179</v>
      </c>
      <c r="E245" s="308" t="s">
        <v>1046</v>
      </c>
      <c r="F245" s="301">
        <f t="shared" si="56"/>
        <v>0</v>
      </c>
      <c r="G245" s="302" t="s">
        <v>1063</v>
      </c>
      <c r="H245" s="302" t="s">
        <v>1089</v>
      </c>
      <c r="I245" s="302" t="s">
        <v>1133</v>
      </c>
      <c r="J245" s="313">
        <f t="shared" si="64"/>
        <v>64000</v>
      </c>
      <c r="K245" s="312">
        <f t="shared" si="63"/>
        <v>0</v>
      </c>
      <c r="L245" s="314" t="s">
        <v>67</v>
      </c>
      <c r="M245" s="316">
        <v>64000</v>
      </c>
      <c r="N245" s="316">
        <f t="shared" si="66"/>
        <v>8100</v>
      </c>
      <c r="O245" s="306">
        <f t="shared" si="61"/>
        <v>72100</v>
      </c>
      <c r="P245" s="294"/>
      <c r="Q245" s="292" t="s">
        <v>1229</v>
      </c>
      <c r="R245" s="22"/>
      <c r="S245" s="22">
        <f t="shared" si="50"/>
        <v>72100</v>
      </c>
      <c r="T245" s="22">
        <f t="shared" si="51"/>
        <v>103000</v>
      </c>
      <c r="U245" s="23">
        <f t="shared" si="52"/>
        <v>117714.28571428571</v>
      </c>
      <c r="V245" s="24">
        <f t="shared" si="53"/>
        <v>0.12499999999999997</v>
      </c>
      <c r="W245" s="23">
        <f t="shared" si="57"/>
        <v>117800</v>
      </c>
      <c r="X245" s="164">
        <f t="shared" si="54"/>
        <v>0.3</v>
      </c>
      <c r="Y245" s="25">
        <v>158143</v>
      </c>
      <c r="Z245" s="25">
        <f>T245-Y245</f>
        <v>-55143</v>
      </c>
      <c r="AA245" s="189">
        <f>Z245/Y245</f>
        <v>-0.34869074192344901</v>
      </c>
      <c r="AB245" s="34"/>
      <c r="AC245" s="164"/>
      <c r="AD245" s="35"/>
      <c r="AE245" s="36"/>
      <c r="AF245" s="29"/>
      <c r="AG245" s="29"/>
      <c r="AH245" s="30"/>
      <c r="AI245" s="172" t="s">
        <v>608</v>
      </c>
      <c r="AJ245" s="29"/>
      <c r="AK245" s="29"/>
      <c r="AL245" s="30"/>
      <c r="AM245" s="172" t="s">
        <v>608</v>
      </c>
      <c r="AN245" s="29"/>
      <c r="AO245" s="29"/>
      <c r="AP245" s="30"/>
      <c r="AQ245" s="55"/>
      <c r="AR245" s="29"/>
      <c r="AS245" s="29"/>
      <c r="AT245" s="30"/>
      <c r="AU245" s="55"/>
      <c r="AV245" s="29"/>
      <c r="AW245" s="29"/>
      <c r="AX245" s="30"/>
      <c r="AY245" s="55"/>
      <c r="AZ245" s="29"/>
      <c r="BA245" s="29"/>
      <c r="BB245" s="30"/>
      <c r="BC245" s="172" t="s">
        <v>751</v>
      </c>
      <c r="BD245" s="29"/>
      <c r="BE245" s="29"/>
      <c r="BF245" s="30"/>
      <c r="BG245" s="55"/>
      <c r="BH245" s="29"/>
      <c r="BI245" s="29"/>
      <c r="BJ245" s="30"/>
      <c r="BK245" s="172" t="s">
        <v>751</v>
      </c>
      <c r="BL245" s="29"/>
      <c r="BM245" s="29"/>
      <c r="BN245" s="30"/>
      <c r="BO245" s="55"/>
      <c r="BP245" s="29"/>
      <c r="BQ245" s="29"/>
      <c r="BR245" s="30"/>
      <c r="BS245" s="55"/>
      <c r="BT245" s="29"/>
      <c r="BU245" s="29"/>
      <c r="BV245" s="30"/>
      <c r="BW245" s="55"/>
      <c r="BX245" s="29"/>
      <c r="BY245" s="29"/>
      <c r="BZ245" s="30"/>
      <c r="CA245" s="31"/>
    </row>
    <row r="246" spans="1:79" hidden="1">
      <c r="A246" s="71" t="s">
        <v>1242</v>
      </c>
      <c r="B246" s="297"/>
      <c r="C246" s="307" t="s">
        <v>445</v>
      </c>
      <c r="D246" s="299" t="str">
        <f t="shared" si="55"/>
        <v xml:space="preserve"> 014</v>
      </c>
      <c r="E246" s="308" t="s">
        <v>445</v>
      </c>
      <c r="F246" s="301">
        <f t="shared" si="56"/>
        <v>0</v>
      </c>
      <c r="G246" s="302" t="s">
        <v>35</v>
      </c>
      <c r="H246" s="302" t="s">
        <v>1082</v>
      </c>
      <c r="I246" s="302" t="s">
        <v>1133</v>
      </c>
      <c r="J246" s="313">
        <f t="shared" si="64"/>
        <v>96000</v>
      </c>
      <c r="K246" s="312">
        <f t="shared" si="63"/>
        <v>0</v>
      </c>
      <c r="L246" s="314" t="s">
        <v>67</v>
      </c>
      <c r="M246" s="316">
        <v>96000</v>
      </c>
      <c r="N246" s="316">
        <v>3050</v>
      </c>
      <c r="O246" s="306">
        <f t="shared" si="61"/>
        <v>99050</v>
      </c>
      <c r="P246" s="294"/>
      <c r="Q246" s="292" t="s">
        <v>1230</v>
      </c>
      <c r="R246" s="22"/>
      <c r="S246" s="22">
        <f t="shared" si="50"/>
        <v>99050</v>
      </c>
      <c r="T246" s="22">
        <f t="shared" si="51"/>
        <v>141500</v>
      </c>
      <c r="U246" s="23">
        <f t="shared" si="52"/>
        <v>161714.28571428571</v>
      </c>
      <c r="V246" s="24">
        <f t="shared" si="53"/>
        <v>0.12499999999999997</v>
      </c>
      <c r="W246" s="23">
        <f t="shared" si="57"/>
        <v>161800</v>
      </c>
      <c r="X246" s="164">
        <f t="shared" si="54"/>
        <v>0.3</v>
      </c>
      <c r="Y246" s="25">
        <v>154571</v>
      </c>
      <c r="Z246" s="25">
        <f>T246-Y246</f>
        <v>-13071</v>
      </c>
      <c r="AA246" s="189">
        <f>Z246/Y246</f>
        <v>-8.456308104366278E-2</v>
      </c>
      <c r="AB246" s="34"/>
      <c r="AC246" s="164"/>
      <c r="AD246" s="35"/>
      <c r="AE246" s="36"/>
      <c r="AF246" s="29"/>
      <c r="AG246" s="29"/>
      <c r="AH246" s="30"/>
      <c r="AI246" s="172" t="s">
        <v>608</v>
      </c>
      <c r="AJ246" s="29"/>
      <c r="AK246" s="29"/>
      <c r="AL246" s="30"/>
      <c r="AM246" s="172" t="s">
        <v>608</v>
      </c>
      <c r="AN246" s="29"/>
      <c r="AO246" s="29"/>
      <c r="AP246" s="30"/>
      <c r="AQ246" s="55"/>
      <c r="AR246" s="29"/>
      <c r="AS246" s="29"/>
      <c r="AT246" s="30"/>
      <c r="AU246" s="55"/>
      <c r="AV246" s="29"/>
      <c r="AW246" s="29"/>
      <c r="AX246" s="30"/>
      <c r="AY246" s="55"/>
      <c r="AZ246" s="29"/>
      <c r="BA246" s="29"/>
      <c r="BB246" s="30"/>
      <c r="BC246" s="172" t="s">
        <v>751</v>
      </c>
      <c r="BD246" s="29"/>
      <c r="BE246" s="29"/>
      <c r="BF246" s="30"/>
      <c r="BG246" s="55"/>
      <c r="BH246" s="29"/>
      <c r="BI246" s="29"/>
      <c r="BJ246" s="30"/>
      <c r="BK246" s="172" t="s">
        <v>751</v>
      </c>
      <c r="BL246" s="29"/>
      <c r="BM246" s="29"/>
      <c r="BN246" s="30"/>
      <c r="BO246" s="55"/>
      <c r="BP246" s="29"/>
      <c r="BQ246" s="29"/>
      <c r="BR246" s="30"/>
      <c r="BS246" s="55"/>
      <c r="BT246" s="29"/>
      <c r="BU246" s="29"/>
      <c r="BV246" s="30"/>
      <c r="BW246" s="55"/>
      <c r="BX246" s="29"/>
      <c r="BY246" s="29"/>
      <c r="BZ246" s="30"/>
      <c r="CA246" s="31"/>
    </row>
    <row r="247" spans="1:79" hidden="1">
      <c r="A247" s="71"/>
      <c r="B247" s="297"/>
      <c r="C247" s="307" t="s">
        <v>748</v>
      </c>
      <c r="D247" s="299" t="str">
        <f t="shared" si="55"/>
        <v xml:space="preserve"> 262</v>
      </c>
      <c r="E247" s="309" t="s">
        <v>748</v>
      </c>
      <c r="F247" s="301">
        <f t="shared" si="56"/>
        <v>0</v>
      </c>
      <c r="G247" s="302" t="s">
        <v>35</v>
      </c>
      <c r="H247" s="302" t="s">
        <v>1090</v>
      </c>
      <c r="I247" s="302" t="s">
        <v>1134</v>
      </c>
      <c r="J247" s="303"/>
      <c r="K247" s="312"/>
      <c r="L247" s="301"/>
      <c r="M247" s="316"/>
      <c r="N247" s="316"/>
      <c r="O247" s="306"/>
      <c r="P247" s="294"/>
      <c r="Q247" s="292"/>
      <c r="R247" s="22"/>
      <c r="S247" s="22"/>
      <c r="T247" s="22"/>
      <c r="U247" s="23"/>
      <c r="V247" s="24"/>
      <c r="W247" s="23"/>
      <c r="X247" s="164"/>
      <c r="Y247" s="25"/>
      <c r="Z247" s="25"/>
      <c r="AA247" s="189"/>
      <c r="AB247" s="34"/>
      <c r="AC247" s="164"/>
      <c r="AD247" s="35"/>
      <c r="AE247" s="36"/>
      <c r="AF247" s="29"/>
      <c r="AG247" s="29"/>
      <c r="AH247" s="30"/>
      <c r="AI247" s="172"/>
      <c r="AJ247" s="29"/>
      <c r="AK247" s="29"/>
      <c r="AL247" s="30"/>
      <c r="AM247" s="172"/>
      <c r="AN247" s="29"/>
      <c r="AO247" s="29"/>
      <c r="AP247" s="30"/>
      <c r="AQ247" s="55"/>
      <c r="AR247" s="29"/>
      <c r="AS247" s="29"/>
      <c r="AT247" s="30"/>
      <c r="AU247" s="55"/>
      <c r="AV247" s="29"/>
      <c r="AW247" s="29"/>
      <c r="AX247" s="30"/>
      <c r="AY247" s="55"/>
      <c r="AZ247" s="29"/>
      <c r="BA247" s="29"/>
      <c r="BB247" s="30"/>
      <c r="BC247" s="172"/>
      <c r="BD247" s="29"/>
      <c r="BE247" s="29"/>
      <c r="BF247" s="30"/>
      <c r="BG247" s="55"/>
      <c r="BH247" s="29"/>
      <c r="BI247" s="29"/>
      <c r="BJ247" s="30"/>
      <c r="BK247" s="172"/>
      <c r="BL247" s="29"/>
      <c r="BM247" s="29"/>
      <c r="BN247" s="30"/>
      <c r="BO247" s="55"/>
      <c r="BP247" s="29"/>
      <c r="BQ247" s="29"/>
      <c r="BR247" s="30"/>
      <c r="BS247" s="55"/>
      <c r="BT247" s="29"/>
      <c r="BU247" s="29"/>
      <c r="BV247" s="30"/>
      <c r="BW247" s="55"/>
      <c r="BX247" s="29"/>
      <c r="BY247" s="29"/>
      <c r="BZ247" s="30"/>
      <c r="CA247" s="31"/>
    </row>
    <row r="248" spans="1:79" hidden="1">
      <c r="A248" s="71"/>
      <c r="B248" s="297"/>
      <c r="C248" s="307" t="s">
        <v>747</v>
      </c>
      <c r="D248" s="299" t="str">
        <f t="shared" si="55"/>
        <v xml:space="preserve"> 311</v>
      </c>
      <c r="E248" s="309" t="s">
        <v>747</v>
      </c>
      <c r="F248" s="301">
        <f t="shared" si="56"/>
        <v>0</v>
      </c>
      <c r="G248" s="302" t="s">
        <v>35</v>
      </c>
      <c r="H248" s="302" t="s">
        <v>1090</v>
      </c>
      <c r="I248" s="302" t="s">
        <v>1134</v>
      </c>
      <c r="J248" s="303"/>
      <c r="K248" s="312"/>
      <c r="L248" s="301"/>
      <c r="M248" s="316"/>
      <c r="N248" s="316"/>
      <c r="O248" s="306"/>
      <c r="P248" s="294"/>
      <c r="Q248" s="292"/>
      <c r="R248" s="22"/>
      <c r="S248" s="22"/>
      <c r="T248" s="22"/>
      <c r="U248" s="23"/>
      <c r="V248" s="24"/>
      <c r="W248" s="23"/>
      <c r="X248" s="164"/>
      <c r="Y248" s="25"/>
      <c r="Z248" s="25"/>
      <c r="AA248" s="189"/>
      <c r="AB248" s="34"/>
      <c r="AC248" s="164"/>
      <c r="AD248" s="35"/>
      <c r="AE248" s="36"/>
      <c r="AF248" s="29"/>
      <c r="AG248" s="29"/>
      <c r="AH248" s="30"/>
      <c r="AI248" s="172"/>
      <c r="AJ248" s="29"/>
      <c r="AK248" s="29"/>
      <c r="AL248" s="30"/>
      <c r="AM248" s="172"/>
      <c r="AN248" s="29"/>
      <c r="AO248" s="29"/>
      <c r="AP248" s="30"/>
      <c r="AQ248" s="55"/>
      <c r="AR248" s="29"/>
      <c r="AS248" s="29"/>
      <c r="AT248" s="30"/>
      <c r="AU248" s="55"/>
      <c r="AV248" s="29"/>
      <c r="AW248" s="29"/>
      <c r="AX248" s="30"/>
      <c r="AY248" s="55"/>
      <c r="AZ248" s="29"/>
      <c r="BA248" s="29"/>
      <c r="BB248" s="30"/>
      <c r="BC248" s="172"/>
      <c r="BD248" s="29"/>
      <c r="BE248" s="29"/>
      <c r="BF248" s="30"/>
      <c r="BG248" s="55"/>
      <c r="BH248" s="29"/>
      <c r="BI248" s="29"/>
      <c r="BJ248" s="30"/>
      <c r="BK248" s="172"/>
      <c r="BL248" s="29"/>
      <c r="BM248" s="29"/>
      <c r="BN248" s="30"/>
      <c r="BO248" s="55"/>
      <c r="BP248" s="29"/>
      <c r="BQ248" s="29"/>
      <c r="BR248" s="30"/>
      <c r="BS248" s="55"/>
      <c r="BT248" s="29"/>
      <c r="BU248" s="29"/>
      <c r="BV248" s="30"/>
      <c r="BW248" s="55"/>
      <c r="BX248" s="29"/>
      <c r="BY248" s="29"/>
      <c r="BZ248" s="30"/>
      <c r="CA248" s="31"/>
    </row>
    <row r="249" spans="1:79" hidden="1">
      <c r="B249" s="297"/>
      <c r="C249" s="307" t="s">
        <v>749</v>
      </c>
      <c r="D249" s="299" t="str">
        <f t="shared" si="55"/>
        <v xml:space="preserve"> 491</v>
      </c>
      <c r="E249" s="308" t="s">
        <v>749</v>
      </c>
      <c r="F249" s="301">
        <f t="shared" si="56"/>
        <v>0</v>
      </c>
      <c r="G249" s="302" t="s">
        <v>35</v>
      </c>
      <c r="H249" s="302" t="s">
        <v>1090</v>
      </c>
      <c r="I249" s="302" t="s">
        <v>1134</v>
      </c>
      <c r="J249" s="313">
        <f t="shared" si="64"/>
        <v>39000</v>
      </c>
      <c r="K249" s="312">
        <f t="shared" si="63"/>
        <v>0</v>
      </c>
      <c r="L249" s="314" t="s">
        <v>67</v>
      </c>
      <c r="M249" s="316">
        <v>39000</v>
      </c>
      <c r="N249" s="316">
        <f>2000+200+600</f>
        <v>2800</v>
      </c>
      <c r="O249" s="306">
        <f t="shared" ref="O249:O254" si="67">M249+N249</f>
        <v>41800</v>
      </c>
      <c r="P249" s="294"/>
      <c r="Q249" s="292" t="s">
        <v>1156</v>
      </c>
      <c r="R249" s="22"/>
      <c r="S249" s="22">
        <f t="shared" si="50"/>
        <v>41800</v>
      </c>
      <c r="T249" s="22">
        <f t="shared" si="51"/>
        <v>59714.285714285717</v>
      </c>
      <c r="U249" s="23">
        <f t="shared" si="52"/>
        <v>68244.897959183683</v>
      </c>
      <c r="V249" s="24">
        <f t="shared" si="53"/>
        <v>0.12500000000000008</v>
      </c>
      <c r="W249" s="23">
        <f t="shared" si="57"/>
        <v>68300</v>
      </c>
      <c r="X249" s="164">
        <f t="shared" si="54"/>
        <v>0.30000000000000004</v>
      </c>
      <c r="Y249" s="25"/>
      <c r="Z249" s="25"/>
      <c r="AA249" s="25"/>
      <c r="AB249" s="34"/>
      <c r="AC249" s="164"/>
      <c r="AD249" s="35"/>
      <c r="AE249" s="36"/>
      <c r="AF249" s="29"/>
      <c r="AG249" s="29"/>
      <c r="AH249" s="30"/>
      <c r="AI249" s="172" t="s">
        <v>608</v>
      </c>
      <c r="AJ249" s="29"/>
      <c r="AK249" s="29"/>
      <c r="AL249" s="30"/>
      <c r="AM249" s="172" t="s">
        <v>608</v>
      </c>
      <c r="AN249" s="29"/>
      <c r="AO249" s="29"/>
      <c r="AP249" s="30"/>
      <c r="AQ249" s="55"/>
      <c r="AR249" s="29"/>
      <c r="AS249" s="29"/>
      <c r="AT249" s="30"/>
      <c r="AU249" s="172" t="s">
        <v>608</v>
      </c>
      <c r="AV249" s="29"/>
      <c r="AW249" s="29"/>
      <c r="AX249" s="30"/>
      <c r="AY249" s="55"/>
      <c r="AZ249" s="29"/>
      <c r="BA249" s="29"/>
      <c r="BB249" s="30"/>
      <c r="BC249" s="55"/>
      <c r="BD249" s="29"/>
      <c r="BE249" s="29"/>
      <c r="BF249" s="30"/>
      <c r="BG249" s="55"/>
      <c r="BH249" s="29"/>
      <c r="BI249" s="29"/>
      <c r="BJ249" s="30"/>
      <c r="BK249" s="172" t="s">
        <v>751</v>
      </c>
      <c r="BL249" s="29"/>
      <c r="BM249" s="29"/>
      <c r="BN249" s="30"/>
      <c r="BO249" s="55"/>
      <c r="BP249" s="29"/>
      <c r="BQ249" s="29"/>
      <c r="BR249" s="30"/>
      <c r="BS249" s="55"/>
      <c r="BT249" s="29"/>
      <c r="BU249" s="29"/>
      <c r="BV249" s="30"/>
      <c r="BW249" s="55"/>
      <c r="BX249" s="29"/>
      <c r="BY249" s="29"/>
      <c r="BZ249" s="30"/>
      <c r="CA249" s="31"/>
    </row>
    <row r="250" spans="1:79" hidden="1">
      <c r="B250" s="297"/>
      <c r="C250" s="307" t="s">
        <v>510</v>
      </c>
      <c r="D250" s="299" t="str">
        <f t="shared" si="55"/>
        <v xml:space="preserve"> 215</v>
      </c>
      <c r="E250" s="308" t="s">
        <v>510</v>
      </c>
      <c r="F250" s="301">
        <f t="shared" si="56"/>
        <v>0</v>
      </c>
      <c r="G250" s="302" t="s">
        <v>35</v>
      </c>
      <c r="H250" s="302" t="s">
        <v>1090</v>
      </c>
      <c r="I250" s="302" t="s">
        <v>1134</v>
      </c>
      <c r="J250" s="313">
        <f t="shared" si="64"/>
        <v>39000</v>
      </c>
      <c r="K250" s="312">
        <f t="shared" si="63"/>
        <v>0</v>
      </c>
      <c r="L250" s="314" t="s">
        <v>67</v>
      </c>
      <c r="M250" s="316">
        <v>39000</v>
      </c>
      <c r="N250" s="316">
        <f t="shared" ref="N250:N252" si="68">2000+200+600</f>
        <v>2800</v>
      </c>
      <c r="O250" s="306">
        <f t="shared" si="67"/>
        <v>41800</v>
      </c>
      <c r="P250" s="294"/>
      <c r="Q250" s="292" t="s">
        <v>1156</v>
      </c>
      <c r="R250" s="22"/>
      <c r="S250" s="22">
        <f t="shared" si="50"/>
        <v>41800</v>
      </c>
      <c r="T250" s="22">
        <f t="shared" si="51"/>
        <v>59714.285714285717</v>
      </c>
      <c r="U250" s="23">
        <f t="shared" si="52"/>
        <v>68244.897959183683</v>
      </c>
      <c r="V250" s="24">
        <f t="shared" si="53"/>
        <v>0.12500000000000008</v>
      </c>
      <c r="W250" s="23">
        <f t="shared" si="57"/>
        <v>68300</v>
      </c>
      <c r="X250" s="164">
        <f t="shared" si="54"/>
        <v>0.30000000000000004</v>
      </c>
      <c r="Y250" s="25"/>
      <c r="Z250" s="25"/>
      <c r="AA250" s="25"/>
      <c r="AB250" s="34" t="s">
        <v>166</v>
      </c>
      <c r="AC250" s="164">
        <f>AVERAGE(X242,X243,X244,X245,X246,X250)</f>
        <v>0.30000000000000004</v>
      </c>
      <c r="AD250" s="208">
        <f>AVERAGE(T242,T243,T244,T245,T246,T250)</f>
        <v>107904.76190476189</v>
      </c>
      <c r="AE250" s="28">
        <f>AVERAGE(AI250,AM250,AQ250,AU250,BC250,BK250,BO250,BS250,BW250)</f>
        <v>164077</v>
      </c>
      <c r="AF250" s="180">
        <v>154535.71428571432</v>
      </c>
      <c r="AG250" s="181">
        <v>156071</v>
      </c>
      <c r="AH250" s="21">
        <f>(AD250-AF250)/AF250</f>
        <v>-0.30174870965256934</v>
      </c>
      <c r="AI250" s="59">
        <v>157762</v>
      </c>
      <c r="AJ250" s="180">
        <f>105018/0.7</f>
        <v>150025.71428571429</v>
      </c>
      <c r="AK250" s="180">
        <v>156173</v>
      </c>
      <c r="AL250" s="21">
        <f>(AI250-AJ250)/AJ250</f>
        <v>5.1566398141270994E-2</v>
      </c>
      <c r="AM250" s="44">
        <v>161122</v>
      </c>
      <c r="AN250" s="180">
        <f>112755/0.7</f>
        <v>161078.57142857145</v>
      </c>
      <c r="AO250" s="180">
        <v>170850</v>
      </c>
      <c r="AP250" s="21">
        <f>(AM250-AN250)/AN250</f>
        <v>2.6961110372032677E-4</v>
      </c>
      <c r="AQ250" s="55"/>
      <c r="AR250" s="29"/>
      <c r="AS250" s="29"/>
      <c r="AT250" s="30"/>
      <c r="AU250" s="55"/>
      <c r="AV250" s="29"/>
      <c r="AW250" s="29"/>
      <c r="AX250" s="30"/>
      <c r="AY250" s="55"/>
      <c r="AZ250" s="29"/>
      <c r="BA250" s="29"/>
      <c r="BB250" s="30"/>
      <c r="BC250" s="59">
        <v>142425</v>
      </c>
      <c r="BD250" s="180">
        <v>137743</v>
      </c>
      <c r="BE250" s="180">
        <v>174960</v>
      </c>
      <c r="BF250" s="21">
        <f>(BC250-BD250)/BD250</f>
        <v>3.3990838009917021E-2</v>
      </c>
      <c r="BG250" s="57"/>
      <c r="BH250" s="29"/>
      <c r="BI250" s="29"/>
      <c r="BJ250" s="30"/>
      <c r="BK250" s="44">
        <v>194999</v>
      </c>
      <c r="BL250" s="29"/>
      <c r="BM250" s="180">
        <v>184000</v>
      </c>
      <c r="BN250" s="30"/>
      <c r="BO250" s="55"/>
      <c r="BP250" s="29"/>
      <c r="BQ250" s="29"/>
      <c r="BR250" s="30"/>
      <c r="BS250" s="55"/>
      <c r="BT250" s="29"/>
      <c r="BU250" s="29"/>
      <c r="BV250" s="30"/>
      <c r="BW250" s="55"/>
      <c r="BX250" s="29"/>
      <c r="BY250" s="29"/>
      <c r="BZ250" s="30"/>
      <c r="CA250" s="31"/>
    </row>
    <row r="251" spans="1:79" hidden="1">
      <c r="B251" s="297"/>
      <c r="C251" s="307" t="s">
        <v>746</v>
      </c>
      <c r="D251" s="299" t="str">
        <f t="shared" si="55"/>
        <v xml:space="preserve"> 119</v>
      </c>
      <c r="E251" s="308" t="s">
        <v>746</v>
      </c>
      <c r="F251" s="301">
        <f t="shared" si="56"/>
        <v>0</v>
      </c>
      <c r="G251" s="302" t="s">
        <v>35</v>
      </c>
      <c r="H251" s="302" t="s">
        <v>1090</v>
      </c>
      <c r="I251" s="302" t="s">
        <v>1134</v>
      </c>
      <c r="J251" s="313">
        <f t="shared" si="64"/>
        <v>37500</v>
      </c>
      <c r="K251" s="312">
        <f t="shared" si="63"/>
        <v>0</v>
      </c>
      <c r="L251" s="314" t="s">
        <v>67</v>
      </c>
      <c r="M251" s="316">
        <v>37500</v>
      </c>
      <c r="N251" s="316">
        <f t="shared" si="68"/>
        <v>2800</v>
      </c>
      <c r="O251" s="306">
        <f t="shared" si="67"/>
        <v>40300</v>
      </c>
      <c r="P251" s="294"/>
      <c r="Q251" s="292" t="s">
        <v>1156</v>
      </c>
      <c r="R251" s="22"/>
      <c r="S251" s="22">
        <f t="shared" si="50"/>
        <v>40300</v>
      </c>
      <c r="T251" s="22">
        <f t="shared" si="51"/>
        <v>57571.428571428572</v>
      </c>
      <c r="U251" s="23">
        <f t="shared" si="52"/>
        <v>65795.918367346938</v>
      </c>
      <c r="V251" s="24">
        <f t="shared" si="53"/>
        <v>0.12499999999999997</v>
      </c>
      <c r="W251" s="23">
        <f t="shared" si="57"/>
        <v>65800</v>
      </c>
      <c r="X251" s="164">
        <f t="shared" si="54"/>
        <v>0.3</v>
      </c>
      <c r="Y251" s="25">
        <v>172429</v>
      </c>
      <c r="Z251" s="25">
        <f>T251-Y251</f>
        <v>-114857.57142857142</v>
      </c>
      <c r="AA251" s="189">
        <f>Z251/Y251</f>
        <v>-0.66611516292834394</v>
      </c>
      <c r="AB251" s="34" t="s">
        <v>277</v>
      </c>
      <c r="AC251" s="164">
        <f>AVERAGE(X249,X251)</f>
        <v>0.30000000000000004</v>
      </c>
      <c r="AD251" s="46">
        <f>AVERAGE(T249,T251)</f>
        <v>58642.857142857145</v>
      </c>
      <c r="AE251" s="28">
        <f>AVERAGE(AI251,AM251,AQ251,AU251,BC251,BK251,BO251,BS251,BW251)</f>
        <v>178956.30952380964</v>
      </c>
      <c r="AF251" s="180">
        <v>195761.90476190476</v>
      </c>
      <c r="AG251" s="181">
        <v>183810</v>
      </c>
      <c r="AH251" s="51">
        <f>(AD251-AF251)/AF251</f>
        <v>-0.70043784967161282</v>
      </c>
      <c r="AI251" s="59">
        <v>162925.2380952386</v>
      </c>
      <c r="AJ251" s="180">
        <f>125743/0.7</f>
        <v>179632.85714285716</v>
      </c>
      <c r="AK251" s="180">
        <v>142800</v>
      </c>
      <c r="AL251" s="21">
        <f>(AI251-AJ251)/AJ251</f>
        <v>-9.3009816318466956E-2</v>
      </c>
      <c r="AM251" s="59">
        <f>97755/0.7</f>
        <v>139650</v>
      </c>
      <c r="AN251" s="180">
        <f>118151/0.7</f>
        <v>168787.14285714287</v>
      </c>
      <c r="AO251" s="180">
        <v>142141</v>
      </c>
      <c r="AP251" s="21">
        <f>(AM251-AN251)/AN251</f>
        <v>-0.17262655415527595</v>
      </c>
      <c r="AQ251" s="55"/>
      <c r="AR251" s="180">
        <f>147420/0.7</f>
        <v>210600</v>
      </c>
      <c r="AS251" s="180">
        <v>210600</v>
      </c>
      <c r="AT251" s="21">
        <f>(AQ251-AR251)/AR251</f>
        <v>-1</v>
      </c>
      <c r="AU251" s="44">
        <v>199500</v>
      </c>
      <c r="AV251" s="180">
        <f>123480/0.7</f>
        <v>176400</v>
      </c>
      <c r="AW251" s="29"/>
      <c r="AX251" s="21">
        <f>(AU251-AV251)/AV251</f>
        <v>0.13095238095238096</v>
      </c>
      <c r="AY251" s="55"/>
      <c r="AZ251" s="29"/>
      <c r="BA251" s="29"/>
      <c r="BB251" s="30"/>
      <c r="BC251" s="55"/>
      <c r="BD251" s="29"/>
      <c r="BE251" s="180">
        <v>204120</v>
      </c>
      <c r="BF251" s="30"/>
      <c r="BG251" s="55"/>
      <c r="BH251" s="29"/>
      <c r="BI251" s="29"/>
      <c r="BJ251" s="30"/>
      <c r="BK251" s="44">
        <v>213750</v>
      </c>
      <c r="BL251" s="180">
        <f>144900/0.7</f>
        <v>207000</v>
      </c>
      <c r="BM251" s="180">
        <v>199000</v>
      </c>
      <c r="BN251" s="21">
        <f>(BK251-BL251)/BL251</f>
        <v>3.2608695652173912E-2</v>
      </c>
      <c r="BO251" s="57"/>
      <c r="BP251" s="29"/>
      <c r="BQ251" s="29"/>
      <c r="BR251" s="30"/>
      <c r="BS251" s="55"/>
      <c r="BT251" s="29"/>
      <c r="BU251" s="29"/>
      <c r="BV251" s="30"/>
      <c r="BW251" s="55"/>
      <c r="BX251" s="29"/>
      <c r="BY251" s="29"/>
      <c r="BZ251" s="30"/>
      <c r="CA251" s="31"/>
    </row>
    <row r="252" spans="1:79" hidden="1">
      <c r="B252" s="297"/>
      <c r="C252" s="307" t="s">
        <v>511</v>
      </c>
      <c r="D252" s="299" t="str">
        <f t="shared" si="55"/>
        <v xml:space="preserve"> 243</v>
      </c>
      <c r="E252" s="308" t="s">
        <v>511</v>
      </c>
      <c r="F252" s="301">
        <f t="shared" si="56"/>
        <v>0</v>
      </c>
      <c r="G252" s="302" t="s">
        <v>35</v>
      </c>
      <c r="H252" s="302" t="s">
        <v>1090</v>
      </c>
      <c r="I252" s="302" t="s">
        <v>1134</v>
      </c>
      <c r="J252" s="313">
        <f t="shared" si="64"/>
        <v>37500</v>
      </c>
      <c r="K252" s="312">
        <f t="shared" si="63"/>
        <v>0</v>
      </c>
      <c r="L252" s="314" t="s">
        <v>67</v>
      </c>
      <c r="M252" s="316">
        <v>37500</v>
      </c>
      <c r="N252" s="316">
        <f t="shared" si="68"/>
        <v>2800</v>
      </c>
      <c r="O252" s="306">
        <f>M252+N252</f>
        <v>40300</v>
      </c>
      <c r="P252" s="294"/>
      <c r="Q252" s="292" t="s">
        <v>1156</v>
      </c>
      <c r="R252" s="22"/>
      <c r="S252" s="22">
        <f t="shared" si="50"/>
        <v>40300</v>
      </c>
      <c r="T252" s="22">
        <f>S252/0.7</f>
        <v>57571.428571428572</v>
      </c>
      <c r="U252" s="23">
        <f>T252/0.875</f>
        <v>65795.918367346938</v>
      </c>
      <c r="V252" s="24">
        <f>(U252-T252)/U252</f>
        <v>0.12499999999999997</v>
      </c>
      <c r="W252" s="23">
        <f t="shared" si="57"/>
        <v>65800</v>
      </c>
      <c r="X252" s="164">
        <f t="shared" si="54"/>
        <v>0.3</v>
      </c>
      <c r="Y252" s="25"/>
      <c r="Z252" s="25"/>
      <c r="AA252" s="25"/>
      <c r="AB252" s="34"/>
      <c r="AC252" s="164"/>
      <c r="AD252" s="46">
        <f>T252</f>
        <v>57571.428571428572</v>
      </c>
      <c r="AE252" s="36"/>
      <c r="AF252" s="29">
        <v>124857.14285714287</v>
      </c>
      <c r="AG252" s="29"/>
      <c r="AH252" s="30"/>
      <c r="AI252" s="171">
        <v>57834</v>
      </c>
      <c r="AJ252" s="29"/>
      <c r="AK252" s="29"/>
      <c r="AL252" s="30"/>
      <c r="AM252" s="171">
        <v>82766</v>
      </c>
      <c r="AN252" s="29"/>
      <c r="AO252" s="29"/>
      <c r="AP252" s="30"/>
      <c r="AQ252" s="55"/>
      <c r="AR252" s="29"/>
      <c r="AS252" s="29"/>
      <c r="AT252" s="30"/>
      <c r="AU252" s="55"/>
      <c r="AV252" s="29"/>
      <c r="AW252" s="29"/>
      <c r="AX252" s="30"/>
      <c r="AY252" s="55"/>
      <c r="AZ252" s="29"/>
      <c r="BA252" s="29"/>
      <c r="BB252" s="30"/>
      <c r="BC252" s="55"/>
      <c r="BD252" s="55"/>
      <c r="BE252" s="55"/>
      <c r="BF252" s="55"/>
      <c r="BG252" s="55"/>
      <c r="BH252" s="29"/>
      <c r="BI252" s="29"/>
      <c r="BJ252" s="30"/>
      <c r="BK252" s="55"/>
      <c r="BL252" s="29"/>
      <c r="BM252" s="29"/>
      <c r="BN252" s="30"/>
      <c r="BO252" s="55"/>
      <c r="BP252" s="29"/>
      <c r="BQ252" s="29"/>
      <c r="BR252" s="30"/>
      <c r="BS252" s="55"/>
      <c r="BT252" s="29"/>
      <c r="BU252" s="29"/>
      <c r="BV252" s="30"/>
      <c r="BW252" s="55"/>
      <c r="BX252" s="29"/>
      <c r="BY252" s="29"/>
      <c r="BZ252" s="30"/>
      <c r="CA252" s="31"/>
    </row>
    <row r="253" spans="1:79" hidden="1">
      <c r="B253" s="297"/>
      <c r="C253" s="307" t="s">
        <v>702</v>
      </c>
      <c r="D253" s="299" t="str">
        <f>REPLACE(C253,1,3, )</f>
        <v xml:space="preserve"> 392</v>
      </c>
      <c r="E253" s="309" t="s">
        <v>702</v>
      </c>
      <c r="F253" s="301">
        <f>IF(C253=E253,0,1)</f>
        <v>0</v>
      </c>
      <c r="G253" s="302" t="s">
        <v>1063</v>
      </c>
      <c r="H253" s="302" t="s">
        <v>1247</v>
      </c>
      <c r="I253" s="302" t="s">
        <v>1135</v>
      </c>
      <c r="J253" s="303">
        <v>0</v>
      </c>
      <c r="K253" s="312">
        <f>J253-M253</f>
        <v>0</v>
      </c>
      <c r="L253" s="301"/>
      <c r="M253" s="316">
        <v>0</v>
      </c>
      <c r="N253" s="316">
        <v>0</v>
      </c>
      <c r="O253" s="306">
        <f>M253+N253</f>
        <v>0</v>
      </c>
      <c r="P253" s="294"/>
      <c r="Q253" s="292" t="s">
        <v>1231</v>
      </c>
      <c r="R253" s="22"/>
      <c r="S253" s="22">
        <f>R253+O253</f>
        <v>0</v>
      </c>
      <c r="T253" s="22">
        <f>S253/0.7</f>
        <v>0</v>
      </c>
      <c r="U253" s="23">
        <f>T253/0.875</f>
        <v>0</v>
      </c>
      <c r="V253" s="24" t="e">
        <f>(U253-T253)/U253</f>
        <v>#DIV/0!</v>
      </c>
      <c r="W253" s="23">
        <f>(ROUNDUP((U253/100),0))*100</f>
        <v>0</v>
      </c>
      <c r="X253" s="164" t="e">
        <f>(T253-O253)/T253</f>
        <v>#DIV/0!</v>
      </c>
      <c r="Y253" s="25"/>
      <c r="Z253" s="25"/>
      <c r="AA253" s="25"/>
      <c r="AB253" s="34"/>
      <c r="AC253" s="164"/>
      <c r="AD253" s="46" t="e">
        <f>AVERAGE(T253,#REF!)</f>
        <v>#REF!</v>
      </c>
      <c r="AE253" s="36"/>
      <c r="AF253" s="29"/>
      <c r="AG253" s="29"/>
      <c r="AH253" s="30"/>
      <c r="AI253" s="55"/>
      <c r="AJ253" s="29"/>
      <c r="AK253" s="29"/>
      <c r="AL253" s="30"/>
      <c r="AM253" s="171">
        <v>76807</v>
      </c>
      <c r="AN253" s="29"/>
      <c r="AO253" s="29"/>
      <c r="AP253" s="30"/>
      <c r="AQ253" s="55"/>
      <c r="AR253" s="29"/>
      <c r="AS253" s="29"/>
      <c r="AT253" s="30"/>
      <c r="AU253" s="55"/>
      <c r="AV253" s="29"/>
      <c r="AW253" s="29"/>
      <c r="AX253" s="30"/>
      <c r="AY253" s="55"/>
      <c r="AZ253" s="29"/>
      <c r="BA253" s="29"/>
      <c r="BB253" s="30"/>
      <c r="BC253" s="55"/>
      <c r="BD253" s="29"/>
      <c r="BE253" s="29"/>
      <c r="BF253" s="30"/>
      <c r="BG253" s="55"/>
      <c r="BH253" s="29"/>
      <c r="BI253" s="29"/>
      <c r="BJ253" s="30"/>
      <c r="BK253" s="55"/>
      <c r="BL253" s="29"/>
      <c r="BM253" s="29"/>
      <c r="BN253" s="30"/>
      <c r="BO253" s="55"/>
      <c r="BP253" s="29"/>
      <c r="BQ253" s="29"/>
      <c r="BR253" s="30"/>
      <c r="BS253" s="55"/>
      <c r="BT253" s="29"/>
      <c r="BU253" s="29"/>
      <c r="BV253" s="30"/>
      <c r="BW253" s="55"/>
      <c r="BX253" s="29"/>
      <c r="BY253" s="29"/>
      <c r="BZ253" s="30"/>
      <c r="CA253" s="31"/>
    </row>
    <row r="254" spans="1:79" hidden="1">
      <c r="A254" s="71" t="s">
        <v>1242</v>
      </c>
      <c r="B254" s="297"/>
      <c r="C254" s="307" t="s">
        <v>1047</v>
      </c>
      <c r="D254" s="299" t="str">
        <f t="shared" si="55"/>
        <v xml:space="preserve"> 977</v>
      </c>
      <c r="E254" s="308" t="s">
        <v>1047</v>
      </c>
      <c r="F254" s="301">
        <f t="shared" si="56"/>
        <v>0</v>
      </c>
      <c r="G254" s="302" t="s">
        <v>1063</v>
      </c>
      <c r="H254" s="302" t="s">
        <v>1091</v>
      </c>
      <c r="I254" s="302" t="s">
        <v>1135</v>
      </c>
      <c r="J254" s="313">
        <f t="shared" si="64"/>
        <v>39000</v>
      </c>
      <c r="K254" s="312">
        <f t="shared" si="63"/>
        <v>0</v>
      </c>
      <c r="L254" s="314" t="s">
        <v>67</v>
      </c>
      <c r="M254" s="316">
        <v>39000</v>
      </c>
      <c r="N254" s="316">
        <f>2000+200+250+600+650+2500</f>
        <v>6200</v>
      </c>
      <c r="O254" s="306">
        <f t="shared" si="67"/>
        <v>45200</v>
      </c>
      <c r="P254" s="294"/>
      <c r="Q254" s="292" t="s">
        <v>1231</v>
      </c>
      <c r="R254" s="22"/>
      <c r="S254" s="22">
        <f t="shared" si="50"/>
        <v>45200</v>
      </c>
      <c r="T254" s="22">
        <f t="shared" si="51"/>
        <v>64571.428571428572</v>
      </c>
      <c r="U254" s="23">
        <f t="shared" si="52"/>
        <v>73795.918367346938</v>
      </c>
      <c r="V254" s="24">
        <f t="shared" si="53"/>
        <v>0.12499999999999997</v>
      </c>
      <c r="W254" s="23">
        <f t="shared" si="57"/>
        <v>73800</v>
      </c>
      <c r="X254" s="164">
        <f t="shared" si="54"/>
        <v>0.3</v>
      </c>
      <c r="Y254" s="25"/>
      <c r="Z254" s="25"/>
      <c r="AA254" s="37"/>
      <c r="AB254" s="26"/>
      <c r="AC254" s="164"/>
      <c r="AD254" s="46">
        <f>T254</f>
        <v>64571.428571428572</v>
      </c>
      <c r="AE254" s="36"/>
      <c r="AF254" s="29"/>
      <c r="AG254" s="29"/>
      <c r="AH254" s="30"/>
      <c r="AI254" s="55"/>
      <c r="AJ254" s="29"/>
      <c r="AK254" s="29"/>
      <c r="AL254" s="30"/>
      <c r="AM254" s="171">
        <v>104737</v>
      </c>
      <c r="AN254" s="29"/>
      <c r="AO254" s="29"/>
      <c r="AP254" s="30"/>
      <c r="AQ254" s="55"/>
      <c r="AR254" s="29"/>
      <c r="AS254" s="29"/>
      <c r="AT254" s="30"/>
      <c r="AU254" s="55"/>
      <c r="AV254" s="29"/>
      <c r="AW254" s="29"/>
      <c r="AX254" s="30"/>
      <c r="AY254" s="55"/>
      <c r="AZ254" s="29"/>
      <c r="BA254" s="29"/>
      <c r="BB254" s="30"/>
      <c r="BC254" s="55"/>
      <c r="BD254" s="29"/>
      <c r="BE254" s="29"/>
      <c r="BF254" s="30"/>
      <c r="BG254" s="55"/>
      <c r="BH254" s="29"/>
      <c r="BI254" s="29"/>
      <c r="BJ254" s="30"/>
      <c r="BK254" s="55"/>
      <c r="BL254" s="29"/>
      <c r="BM254" s="29"/>
      <c r="BN254" s="30"/>
      <c r="BO254" s="55"/>
      <c r="BP254" s="29"/>
      <c r="BQ254" s="29"/>
      <c r="BR254" s="30"/>
      <c r="BS254" s="55"/>
      <c r="BT254" s="29"/>
      <c r="BU254" s="29"/>
      <c r="BV254" s="30"/>
      <c r="BW254" s="55"/>
      <c r="BX254" s="29"/>
      <c r="BY254" s="29"/>
      <c r="BZ254" s="30"/>
      <c r="CA254" s="31"/>
    </row>
    <row r="255" spans="1:79" hidden="1">
      <c r="A255" s="71" t="s">
        <v>1242</v>
      </c>
      <c r="B255" s="297"/>
      <c r="C255" s="307" t="s">
        <v>1049</v>
      </c>
      <c r="D255" s="299" t="str">
        <f t="shared" si="55"/>
        <v xml:space="preserve"> 776</v>
      </c>
      <c r="E255" s="308" t="s">
        <v>1049</v>
      </c>
      <c r="F255" s="301">
        <f t="shared" si="56"/>
        <v>0</v>
      </c>
      <c r="G255" s="302" t="s">
        <v>1063</v>
      </c>
      <c r="H255" s="302" t="s">
        <v>1089</v>
      </c>
      <c r="I255" s="302" t="s">
        <v>1135</v>
      </c>
      <c r="J255" s="313">
        <f t="shared" si="64"/>
        <v>69000</v>
      </c>
      <c r="K255" s="312">
        <f t="shared" si="63"/>
        <v>0</v>
      </c>
      <c r="L255" s="314" t="s">
        <v>67</v>
      </c>
      <c r="M255" s="316">
        <v>69000</v>
      </c>
      <c r="N255" s="316">
        <f>2000+200+600+250+1000+3600+450</f>
        <v>8100</v>
      </c>
      <c r="O255" s="306">
        <f>N255+M255</f>
        <v>77100</v>
      </c>
      <c r="P255" s="294"/>
      <c r="Q255" s="292" t="s">
        <v>1232</v>
      </c>
      <c r="R255" s="22"/>
      <c r="S255" s="22">
        <f t="shared" si="50"/>
        <v>77100</v>
      </c>
      <c r="T255" s="22">
        <f t="shared" si="51"/>
        <v>110142.85714285714</v>
      </c>
      <c r="U255" s="23">
        <f t="shared" si="52"/>
        <v>125877.55102040817</v>
      </c>
      <c r="V255" s="24">
        <f t="shared" si="53"/>
        <v>0.125</v>
      </c>
      <c r="W255" s="23">
        <f t="shared" si="57"/>
        <v>125900</v>
      </c>
      <c r="X255" s="344">
        <f t="shared" si="54"/>
        <v>0.3</v>
      </c>
      <c r="Y255" s="25">
        <v>121143</v>
      </c>
      <c r="Z255" s="25">
        <f>T255-Y255</f>
        <v>-11000.142857142855</v>
      </c>
      <c r="AA255" s="189">
        <f>Z255/Y255</f>
        <v>-9.0802958958774799E-2</v>
      </c>
      <c r="AB255" s="34"/>
      <c r="AC255" s="164"/>
      <c r="AD255" s="35"/>
      <c r="AE255" s="36"/>
      <c r="AF255" s="29"/>
      <c r="AG255" s="29"/>
      <c r="AH255" s="30"/>
      <c r="AI255" s="172" t="s">
        <v>608</v>
      </c>
      <c r="AJ255" s="29"/>
      <c r="AK255" s="29"/>
      <c r="AL255" s="30"/>
      <c r="AM255" s="172" t="s">
        <v>608</v>
      </c>
      <c r="AN255" s="29"/>
      <c r="AO255" s="29"/>
      <c r="AP255" s="30"/>
      <c r="AQ255" s="172" t="s">
        <v>608</v>
      </c>
      <c r="AR255" s="29"/>
      <c r="AS255" s="29"/>
      <c r="AT255" s="30"/>
      <c r="AU255" s="172" t="s">
        <v>608</v>
      </c>
      <c r="AV255" s="29"/>
      <c r="AW255" s="29"/>
      <c r="AX255" s="30"/>
      <c r="AY255" s="55"/>
      <c r="AZ255" s="29"/>
      <c r="BA255" s="29"/>
      <c r="BB255" s="30"/>
      <c r="BC255" s="172"/>
      <c r="BD255" s="29"/>
      <c r="BE255" s="29"/>
      <c r="BF255" s="30"/>
      <c r="BG255" s="55"/>
      <c r="BH255" s="29"/>
      <c r="BI255" s="29"/>
      <c r="BJ255" s="30"/>
      <c r="BK255" s="172" t="s">
        <v>751</v>
      </c>
      <c r="BL255" s="29"/>
      <c r="BM255" s="29"/>
      <c r="BN255" s="30"/>
      <c r="BO255" s="55"/>
      <c r="BP255" s="29"/>
      <c r="BQ255" s="29"/>
      <c r="BR255" s="30"/>
      <c r="BS255" s="55"/>
      <c r="BT255" s="29"/>
      <c r="BU255" s="29"/>
      <c r="BV255" s="30"/>
      <c r="BW255" s="55"/>
      <c r="BX255" s="29"/>
      <c r="BY255" s="29"/>
      <c r="BZ255" s="30"/>
      <c r="CA255" s="31"/>
    </row>
    <row r="256" spans="1:79" hidden="1">
      <c r="A256" s="71" t="s">
        <v>1242</v>
      </c>
      <c r="B256" s="297"/>
      <c r="C256" s="307" t="s">
        <v>1050</v>
      </c>
      <c r="D256" s="299" t="str">
        <f t="shared" si="55"/>
        <v xml:space="preserve"> 800</v>
      </c>
      <c r="E256" s="308" t="s">
        <v>1050</v>
      </c>
      <c r="F256" s="301">
        <f t="shared" si="56"/>
        <v>0</v>
      </c>
      <c r="G256" s="302" t="s">
        <v>1063</v>
      </c>
      <c r="H256" s="302" t="s">
        <v>1089</v>
      </c>
      <c r="I256" s="302" t="s">
        <v>1135</v>
      </c>
      <c r="J256" s="313">
        <f t="shared" si="64"/>
        <v>75000</v>
      </c>
      <c r="K256" s="312">
        <f t="shared" si="63"/>
        <v>0</v>
      </c>
      <c r="L256" s="314" t="s">
        <v>67</v>
      </c>
      <c r="M256" s="316">
        <v>75000</v>
      </c>
      <c r="N256" s="316">
        <f t="shared" ref="N256:N265" si="69">2000+200+600+250+1000+3600+450</f>
        <v>8100</v>
      </c>
      <c r="O256" s="306">
        <f>N256+M256</f>
        <v>83100</v>
      </c>
      <c r="P256" s="294"/>
      <c r="Q256" s="292" t="s">
        <v>1232</v>
      </c>
      <c r="R256" s="22"/>
      <c r="S256" s="22">
        <f t="shared" si="50"/>
        <v>83100</v>
      </c>
      <c r="T256" s="22">
        <f t="shared" si="51"/>
        <v>118714.28571428572</v>
      </c>
      <c r="U256" s="23">
        <f t="shared" si="52"/>
        <v>135673.46938775512</v>
      </c>
      <c r="V256" s="24">
        <f t="shared" si="53"/>
        <v>0.12500000000000003</v>
      </c>
      <c r="W256" s="23">
        <f t="shared" si="57"/>
        <v>135700</v>
      </c>
      <c r="X256" s="344">
        <f t="shared" si="54"/>
        <v>0.30000000000000004</v>
      </c>
      <c r="Y256" s="25">
        <v>127143</v>
      </c>
      <c r="Z256" s="25">
        <f>T256-Y256</f>
        <v>-8428.7142857142753</v>
      </c>
      <c r="AA256" s="189">
        <f>Z256/Y256</f>
        <v>-6.6293183940242681E-2</v>
      </c>
      <c r="AB256" s="34"/>
      <c r="AC256" s="164"/>
      <c r="AD256" s="35"/>
      <c r="AE256" s="36"/>
      <c r="AF256" s="29"/>
      <c r="AG256" s="29"/>
      <c r="AH256" s="30"/>
      <c r="AI256" s="172" t="s">
        <v>608</v>
      </c>
      <c r="AJ256" s="29"/>
      <c r="AK256" s="29"/>
      <c r="AL256" s="30"/>
      <c r="AM256" s="172" t="s">
        <v>608</v>
      </c>
      <c r="AN256" s="29"/>
      <c r="AO256" s="29"/>
      <c r="AP256" s="30"/>
      <c r="AQ256" s="172" t="s">
        <v>608</v>
      </c>
      <c r="AR256" s="29"/>
      <c r="AS256" s="29"/>
      <c r="AT256" s="30"/>
      <c r="AU256" s="172" t="s">
        <v>608</v>
      </c>
      <c r="AV256" s="29"/>
      <c r="AW256" s="29"/>
      <c r="AX256" s="30"/>
      <c r="AY256" s="55"/>
      <c r="AZ256" s="29"/>
      <c r="BA256" s="29"/>
      <c r="BB256" s="30"/>
      <c r="BC256" s="172"/>
      <c r="BD256" s="29"/>
      <c r="BE256" s="29"/>
      <c r="BF256" s="30"/>
      <c r="BG256" s="55"/>
      <c r="BH256" s="29"/>
      <c r="BI256" s="29"/>
      <c r="BJ256" s="30"/>
      <c r="BK256" s="172" t="s">
        <v>751</v>
      </c>
      <c r="BL256" s="29"/>
      <c r="BM256" s="29"/>
      <c r="BN256" s="30"/>
      <c r="BO256" s="55"/>
      <c r="BP256" s="29"/>
      <c r="BQ256" s="29"/>
      <c r="BR256" s="30"/>
      <c r="BS256" s="55"/>
      <c r="BT256" s="29"/>
      <c r="BU256" s="29"/>
      <c r="BV256" s="30"/>
      <c r="BW256" s="55"/>
      <c r="BX256" s="29"/>
      <c r="BY256" s="29"/>
      <c r="BZ256" s="30"/>
      <c r="CA256" s="31"/>
    </row>
    <row r="257" spans="1:79" hidden="1">
      <c r="A257" s="71" t="s">
        <v>1242</v>
      </c>
      <c r="B257" s="297"/>
      <c r="C257" s="307" t="s">
        <v>1051</v>
      </c>
      <c r="D257" s="299" t="str">
        <f t="shared" si="55"/>
        <v xml:space="preserve"> 583</v>
      </c>
      <c r="E257" s="308" t="s">
        <v>1051</v>
      </c>
      <c r="F257" s="301">
        <f t="shared" si="56"/>
        <v>0</v>
      </c>
      <c r="G257" s="302" t="s">
        <v>1063</v>
      </c>
      <c r="H257" s="302" t="s">
        <v>1089</v>
      </c>
      <c r="I257" s="302" t="s">
        <v>1135</v>
      </c>
      <c r="J257" s="313">
        <f t="shared" si="64"/>
        <v>75000</v>
      </c>
      <c r="K257" s="312">
        <f t="shared" si="63"/>
        <v>0</v>
      </c>
      <c r="L257" s="314" t="s">
        <v>67</v>
      </c>
      <c r="M257" s="316">
        <v>75000</v>
      </c>
      <c r="N257" s="316">
        <f t="shared" si="69"/>
        <v>8100</v>
      </c>
      <c r="O257" s="306">
        <f>N257+M257</f>
        <v>83100</v>
      </c>
      <c r="P257" s="294"/>
      <c r="Q257" s="292" t="s">
        <v>1232</v>
      </c>
      <c r="R257" s="22"/>
      <c r="S257" s="22">
        <f t="shared" si="50"/>
        <v>83100</v>
      </c>
      <c r="T257" s="22">
        <f t="shared" si="51"/>
        <v>118714.28571428572</v>
      </c>
      <c r="U257" s="23">
        <f t="shared" si="52"/>
        <v>135673.46938775512</v>
      </c>
      <c r="V257" s="24">
        <f t="shared" si="53"/>
        <v>0.12500000000000003</v>
      </c>
      <c r="W257" s="23">
        <f t="shared" si="57"/>
        <v>135700</v>
      </c>
      <c r="X257" s="344">
        <f t="shared" si="54"/>
        <v>0.30000000000000004</v>
      </c>
      <c r="Y257" s="25">
        <v>128571</v>
      </c>
      <c r="Z257" s="25">
        <f>T257-Y257</f>
        <v>-9856.7142857142753</v>
      </c>
      <c r="AA257" s="189">
        <f>Z257/Y257</f>
        <v>-7.6663588878629521E-2</v>
      </c>
      <c r="AB257" s="34"/>
      <c r="AC257" s="164"/>
      <c r="AD257" s="35"/>
      <c r="AE257" s="36"/>
      <c r="AF257" s="29"/>
      <c r="AG257" s="29"/>
      <c r="AH257" s="30"/>
      <c r="AI257" s="172" t="s">
        <v>608</v>
      </c>
      <c r="AJ257" s="29"/>
      <c r="AK257" s="29"/>
      <c r="AL257" s="30"/>
      <c r="AM257" s="172" t="s">
        <v>608</v>
      </c>
      <c r="AN257" s="29"/>
      <c r="AO257" s="29"/>
      <c r="AP257" s="30"/>
      <c r="AQ257" s="172" t="s">
        <v>608</v>
      </c>
      <c r="AR257" s="29"/>
      <c r="AS257" s="29"/>
      <c r="AT257" s="30"/>
      <c r="AU257" s="172" t="s">
        <v>608</v>
      </c>
      <c r="AV257" s="29"/>
      <c r="AW257" s="29"/>
      <c r="AX257" s="30"/>
      <c r="AY257" s="55"/>
      <c r="AZ257" s="29"/>
      <c r="BA257" s="29"/>
      <c r="BB257" s="30"/>
      <c r="BC257" s="172"/>
      <c r="BD257" s="29"/>
      <c r="BE257" s="29"/>
      <c r="BF257" s="30"/>
      <c r="BG257" s="55"/>
      <c r="BH257" s="29"/>
      <c r="BI257" s="29"/>
      <c r="BJ257" s="30"/>
      <c r="BK257" s="172" t="s">
        <v>751</v>
      </c>
      <c r="BL257" s="29"/>
      <c r="BM257" s="29"/>
      <c r="BN257" s="30"/>
      <c r="BO257" s="55"/>
      <c r="BP257" s="29"/>
      <c r="BQ257" s="29"/>
      <c r="BR257" s="30"/>
      <c r="BS257" s="55"/>
      <c r="BT257" s="29"/>
      <c r="BU257" s="29"/>
      <c r="BV257" s="30"/>
      <c r="BW257" s="55"/>
      <c r="BX257" s="29"/>
      <c r="BY257" s="29"/>
      <c r="BZ257" s="30"/>
      <c r="CA257" s="31"/>
    </row>
    <row r="258" spans="1:79" hidden="1">
      <c r="A258" s="71" t="s">
        <v>1242</v>
      </c>
      <c r="B258" s="297"/>
      <c r="C258" s="307" t="s">
        <v>1052</v>
      </c>
      <c r="D258" s="299" t="str">
        <f t="shared" si="55"/>
        <v xml:space="preserve"> 543</v>
      </c>
      <c r="E258" s="308" t="s">
        <v>1052</v>
      </c>
      <c r="F258" s="301">
        <f t="shared" si="56"/>
        <v>0</v>
      </c>
      <c r="G258" s="302" t="s">
        <v>1063</v>
      </c>
      <c r="H258" s="302" t="s">
        <v>1089</v>
      </c>
      <c r="I258" s="302" t="s">
        <v>1135</v>
      </c>
      <c r="J258" s="313">
        <f t="shared" si="64"/>
        <v>75000</v>
      </c>
      <c r="K258" s="312">
        <f t="shared" si="63"/>
        <v>0</v>
      </c>
      <c r="L258" s="314" t="s">
        <v>67</v>
      </c>
      <c r="M258" s="316">
        <v>75000</v>
      </c>
      <c r="N258" s="316">
        <f t="shared" si="69"/>
        <v>8100</v>
      </c>
      <c r="O258" s="306">
        <f>M258+N258</f>
        <v>83100</v>
      </c>
      <c r="P258" s="295"/>
      <c r="Q258" s="292" t="s">
        <v>1232</v>
      </c>
      <c r="R258" s="22"/>
      <c r="S258" s="22">
        <f t="shared" si="50"/>
        <v>83100</v>
      </c>
      <c r="T258" s="22">
        <f t="shared" si="51"/>
        <v>118714.28571428572</v>
      </c>
      <c r="U258" s="23">
        <f t="shared" si="52"/>
        <v>135673.46938775512</v>
      </c>
      <c r="V258" s="24">
        <f t="shared" si="53"/>
        <v>0.12500000000000003</v>
      </c>
      <c r="W258" s="23">
        <f t="shared" si="57"/>
        <v>135700</v>
      </c>
      <c r="X258" s="344">
        <f t="shared" si="54"/>
        <v>0.30000000000000004</v>
      </c>
      <c r="Y258" s="25"/>
      <c r="Z258" s="25"/>
      <c r="AA258" s="25"/>
      <c r="AB258" s="34"/>
      <c r="AC258" s="164"/>
      <c r="AD258" s="35"/>
      <c r="AE258" s="36"/>
      <c r="AF258" s="29"/>
      <c r="AG258" s="29"/>
      <c r="AH258" s="30"/>
      <c r="AI258" s="172" t="s">
        <v>608</v>
      </c>
      <c r="AJ258" s="29"/>
      <c r="AK258" s="29"/>
      <c r="AL258" s="30"/>
      <c r="AM258" s="172" t="s">
        <v>608</v>
      </c>
      <c r="AN258" s="29"/>
      <c r="AO258" s="29"/>
      <c r="AP258" s="30"/>
      <c r="AQ258" s="172" t="s">
        <v>608</v>
      </c>
      <c r="AR258" s="29"/>
      <c r="AS258" s="29"/>
      <c r="AT258" s="30"/>
      <c r="AU258" s="172" t="s">
        <v>608</v>
      </c>
      <c r="AV258" s="29"/>
      <c r="AW258" s="29"/>
      <c r="AX258" s="30"/>
      <c r="AY258" s="55"/>
      <c r="AZ258" s="29"/>
      <c r="BA258" s="29"/>
      <c r="BB258" s="30"/>
      <c r="BC258" s="172"/>
      <c r="BD258" s="29"/>
      <c r="BE258" s="29"/>
      <c r="BF258" s="30"/>
      <c r="BG258" s="55"/>
      <c r="BH258" s="29"/>
      <c r="BI258" s="29"/>
      <c r="BJ258" s="30"/>
      <c r="BK258" s="172" t="s">
        <v>751</v>
      </c>
      <c r="BL258" s="29"/>
      <c r="BM258" s="29"/>
      <c r="BN258" s="30"/>
      <c r="BO258" s="55"/>
      <c r="BP258" s="29"/>
      <c r="BQ258" s="29"/>
      <c r="BR258" s="30"/>
      <c r="BS258" s="55"/>
      <c r="BT258" s="29"/>
      <c r="BU258" s="29"/>
      <c r="BV258" s="30"/>
      <c r="BW258" s="55"/>
      <c r="BX258" s="29"/>
      <c r="BY258" s="29"/>
      <c r="BZ258" s="30"/>
      <c r="CA258" s="31"/>
    </row>
    <row r="259" spans="1:79" hidden="1">
      <c r="A259" s="71" t="s">
        <v>1242</v>
      </c>
      <c r="B259" s="297"/>
      <c r="C259" s="307" t="s">
        <v>1053</v>
      </c>
      <c r="D259" s="299" t="str">
        <f t="shared" si="55"/>
        <v xml:space="preserve"> 803</v>
      </c>
      <c r="E259" s="308" t="s">
        <v>1053</v>
      </c>
      <c r="F259" s="301">
        <f t="shared" si="56"/>
        <v>0</v>
      </c>
      <c r="G259" s="302" t="s">
        <v>1063</v>
      </c>
      <c r="H259" s="302" t="s">
        <v>1089</v>
      </c>
      <c r="I259" s="302" t="s">
        <v>1135</v>
      </c>
      <c r="J259" s="313">
        <f t="shared" si="64"/>
        <v>75000</v>
      </c>
      <c r="K259" s="312">
        <f t="shared" si="63"/>
        <v>0</v>
      </c>
      <c r="L259" s="314" t="s">
        <v>67</v>
      </c>
      <c r="M259" s="316">
        <v>75000</v>
      </c>
      <c r="N259" s="316">
        <f t="shared" si="69"/>
        <v>8100</v>
      </c>
      <c r="O259" s="306">
        <f>N259+M259</f>
        <v>83100</v>
      </c>
      <c r="P259" s="294"/>
      <c r="Q259" s="292" t="s">
        <v>1232</v>
      </c>
      <c r="R259" s="22"/>
      <c r="S259" s="22">
        <f t="shared" si="50"/>
        <v>83100</v>
      </c>
      <c r="T259" s="22">
        <f t="shared" si="51"/>
        <v>118714.28571428572</v>
      </c>
      <c r="U259" s="23">
        <f t="shared" si="52"/>
        <v>135673.46938775512</v>
      </c>
      <c r="V259" s="24">
        <f t="shared" si="53"/>
        <v>0.12500000000000003</v>
      </c>
      <c r="W259" s="23">
        <f t="shared" si="57"/>
        <v>135700</v>
      </c>
      <c r="X259" s="344">
        <f t="shared" si="54"/>
        <v>0.30000000000000004</v>
      </c>
      <c r="Y259" s="25"/>
      <c r="Z259" s="25"/>
      <c r="AA259" s="37"/>
      <c r="AB259" s="26"/>
      <c r="AC259" s="164"/>
      <c r="AD259" s="35"/>
      <c r="AE259" s="36"/>
      <c r="AF259" s="29"/>
      <c r="AG259" s="29"/>
      <c r="AH259" s="30"/>
      <c r="AI259" s="172" t="s">
        <v>608</v>
      </c>
      <c r="AJ259" s="29"/>
      <c r="AK259" s="29"/>
      <c r="AL259" s="30"/>
      <c r="AM259" s="172" t="s">
        <v>608</v>
      </c>
      <c r="AN259" s="29"/>
      <c r="AO259" s="29"/>
      <c r="AP259" s="30"/>
      <c r="AQ259" s="172" t="s">
        <v>608</v>
      </c>
      <c r="AR259" s="29"/>
      <c r="AS259" s="29"/>
      <c r="AT259" s="30"/>
      <c r="AU259" s="172" t="s">
        <v>608</v>
      </c>
      <c r="AV259" s="29"/>
      <c r="AW259" s="29"/>
      <c r="AX259" s="30"/>
      <c r="AY259" s="55"/>
      <c r="AZ259" s="29"/>
      <c r="BA259" s="29"/>
      <c r="BB259" s="30"/>
      <c r="BC259" s="172"/>
      <c r="BD259" s="29"/>
      <c r="BE259" s="29"/>
      <c r="BF259" s="30"/>
      <c r="BG259" s="55"/>
      <c r="BH259" s="29"/>
      <c r="BI259" s="29"/>
      <c r="BJ259" s="30"/>
      <c r="BK259" s="172" t="s">
        <v>751</v>
      </c>
      <c r="BL259" s="29"/>
      <c r="BM259" s="29"/>
      <c r="BN259" s="30"/>
      <c r="BO259" s="55"/>
      <c r="BP259" s="29"/>
      <c r="BQ259" s="29"/>
      <c r="BR259" s="30"/>
      <c r="BS259" s="55"/>
      <c r="BT259" s="29"/>
      <c r="BU259" s="29"/>
      <c r="BV259" s="30"/>
      <c r="BW259" s="55"/>
      <c r="BX259" s="29"/>
      <c r="BY259" s="29"/>
      <c r="BZ259" s="30"/>
      <c r="CA259" s="31"/>
    </row>
    <row r="260" spans="1:79" hidden="1">
      <c r="A260" s="71" t="s">
        <v>1242</v>
      </c>
      <c r="B260" s="297"/>
      <c r="C260" s="307" t="s">
        <v>1054</v>
      </c>
      <c r="D260" s="299" t="str">
        <f t="shared" si="55"/>
        <v xml:space="preserve"> 331</v>
      </c>
      <c r="E260" s="308" t="s">
        <v>1054</v>
      </c>
      <c r="F260" s="301">
        <f t="shared" si="56"/>
        <v>0</v>
      </c>
      <c r="G260" s="302" t="s">
        <v>1063</v>
      </c>
      <c r="H260" s="302" t="s">
        <v>1089</v>
      </c>
      <c r="I260" s="302" t="s">
        <v>1135</v>
      </c>
      <c r="J260" s="313">
        <f t="shared" si="64"/>
        <v>69000</v>
      </c>
      <c r="K260" s="312">
        <f t="shared" si="63"/>
        <v>0</v>
      </c>
      <c r="L260" s="314" t="s">
        <v>67</v>
      </c>
      <c r="M260" s="316">
        <v>69000</v>
      </c>
      <c r="N260" s="316">
        <f t="shared" si="69"/>
        <v>8100</v>
      </c>
      <c r="O260" s="306">
        <f t="shared" ref="O260:O267" si="70">M260+N260</f>
        <v>77100</v>
      </c>
      <c r="P260" s="295"/>
      <c r="Q260" s="292" t="s">
        <v>1232</v>
      </c>
      <c r="R260" s="22"/>
      <c r="S260" s="22">
        <f t="shared" si="50"/>
        <v>77100</v>
      </c>
      <c r="T260" s="22">
        <f t="shared" si="51"/>
        <v>110142.85714285714</v>
      </c>
      <c r="U260" s="23">
        <f t="shared" si="52"/>
        <v>125877.55102040817</v>
      </c>
      <c r="V260" s="24">
        <f t="shared" si="53"/>
        <v>0.125</v>
      </c>
      <c r="W260" s="23">
        <f t="shared" si="57"/>
        <v>125900</v>
      </c>
      <c r="X260" s="344">
        <f t="shared" si="54"/>
        <v>0.3</v>
      </c>
      <c r="Y260" s="25"/>
      <c r="Z260" s="25"/>
      <c r="AA260" s="37"/>
      <c r="AB260" s="26"/>
      <c r="AC260" s="164"/>
      <c r="AD260" s="35"/>
      <c r="AE260" s="36"/>
      <c r="AF260" s="29"/>
      <c r="AG260" s="29"/>
      <c r="AH260" s="30"/>
      <c r="AI260" s="172" t="s">
        <v>608</v>
      </c>
      <c r="AJ260" s="29"/>
      <c r="AK260" s="29"/>
      <c r="AL260" s="30"/>
      <c r="AM260" s="172" t="s">
        <v>608</v>
      </c>
      <c r="AN260" s="29"/>
      <c r="AO260" s="29"/>
      <c r="AP260" s="30"/>
      <c r="AQ260" s="172" t="s">
        <v>608</v>
      </c>
      <c r="AR260" s="29"/>
      <c r="AS260" s="29"/>
      <c r="AT260" s="30"/>
      <c r="AU260" s="172" t="s">
        <v>608</v>
      </c>
      <c r="AV260" s="29"/>
      <c r="AW260" s="29"/>
      <c r="AX260" s="30"/>
      <c r="AY260" s="55"/>
      <c r="AZ260" s="29"/>
      <c r="BA260" s="29"/>
      <c r="BB260" s="30"/>
      <c r="BC260" s="172"/>
      <c r="BD260" s="29"/>
      <c r="BE260" s="29"/>
      <c r="BF260" s="30"/>
      <c r="BG260" s="55"/>
      <c r="BH260" s="29"/>
      <c r="BI260" s="29"/>
      <c r="BJ260" s="30"/>
      <c r="BK260" s="172" t="s">
        <v>751</v>
      </c>
      <c r="BL260" s="29"/>
      <c r="BM260" s="29"/>
      <c r="BN260" s="30"/>
      <c r="BO260" s="55"/>
      <c r="BP260" s="29"/>
      <c r="BQ260" s="29"/>
      <c r="BR260" s="30"/>
      <c r="BS260" s="55"/>
      <c r="BT260" s="29"/>
      <c r="BU260" s="29"/>
      <c r="BV260" s="30"/>
      <c r="BW260" s="55"/>
      <c r="BX260" s="29"/>
      <c r="BY260" s="29"/>
      <c r="BZ260" s="30"/>
      <c r="CA260" s="31"/>
    </row>
    <row r="261" spans="1:79" hidden="1">
      <c r="A261" s="71" t="s">
        <v>1242</v>
      </c>
      <c r="B261" s="297"/>
      <c r="C261" s="307" t="s">
        <v>1055</v>
      </c>
      <c r="D261" s="299" t="str">
        <f t="shared" si="55"/>
        <v xml:space="preserve"> 430</v>
      </c>
      <c r="E261" s="308" t="s">
        <v>1055</v>
      </c>
      <c r="F261" s="301">
        <f t="shared" si="56"/>
        <v>0</v>
      </c>
      <c r="G261" s="302" t="s">
        <v>1063</v>
      </c>
      <c r="H261" s="302" t="s">
        <v>1089</v>
      </c>
      <c r="I261" s="302" t="s">
        <v>1135</v>
      </c>
      <c r="J261" s="313">
        <f t="shared" si="64"/>
        <v>75000</v>
      </c>
      <c r="K261" s="312">
        <f t="shared" si="63"/>
        <v>0</v>
      </c>
      <c r="L261" s="314" t="s">
        <v>67</v>
      </c>
      <c r="M261" s="316">
        <v>75000</v>
      </c>
      <c r="N261" s="316">
        <f t="shared" si="69"/>
        <v>8100</v>
      </c>
      <c r="O261" s="306">
        <f t="shared" si="70"/>
        <v>83100</v>
      </c>
      <c r="P261" s="294"/>
      <c r="Q261" s="292" t="s">
        <v>1232</v>
      </c>
      <c r="R261" s="22"/>
      <c r="S261" s="22">
        <f t="shared" si="50"/>
        <v>83100</v>
      </c>
      <c r="T261" s="22">
        <f t="shared" si="51"/>
        <v>118714.28571428572</v>
      </c>
      <c r="U261" s="23">
        <f t="shared" si="52"/>
        <v>135673.46938775512</v>
      </c>
      <c r="V261" s="24">
        <f t="shared" si="53"/>
        <v>0.12500000000000003</v>
      </c>
      <c r="W261" s="23">
        <f t="shared" si="57"/>
        <v>135700</v>
      </c>
      <c r="X261" s="344">
        <f t="shared" si="54"/>
        <v>0.30000000000000004</v>
      </c>
      <c r="Y261" s="25"/>
      <c r="Z261" s="25"/>
      <c r="AA261" s="25"/>
      <c r="AB261" s="34"/>
      <c r="AC261" s="164">
        <f>AVERAGE(X261)</f>
        <v>0.30000000000000004</v>
      </c>
      <c r="AD261" s="46">
        <f>T261</f>
        <v>118714.28571428572</v>
      </c>
      <c r="AE261" s="28">
        <f>AVERAGE(AI261,AM261,AQ261,AU261,BC261,BK261,BO261,BS261,BW261)</f>
        <v>114621</v>
      </c>
      <c r="AF261" s="29"/>
      <c r="AG261" s="29"/>
      <c r="AH261" s="30"/>
      <c r="AI261" s="59">
        <v>114621</v>
      </c>
      <c r="AJ261" s="29"/>
      <c r="AK261" s="29"/>
      <c r="AL261" s="30"/>
      <c r="AM261" s="55"/>
      <c r="AN261" s="29"/>
      <c r="AO261" s="29"/>
      <c r="AP261" s="30"/>
      <c r="AQ261" s="55"/>
      <c r="AR261" s="29"/>
      <c r="AS261" s="29"/>
      <c r="AT261" s="30"/>
      <c r="AU261" s="55"/>
      <c r="AV261" s="29"/>
      <c r="AW261" s="29"/>
      <c r="AX261" s="30"/>
      <c r="AY261" s="55"/>
      <c r="AZ261" s="29"/>
      <c r="BA261" s="29"/>
      <c r="BB261" s="30"/>
      <c r="BC261" s="55"/>
      <c r="BD261" s="29"/>
      <c r="BE261" s="29"/>
      <c r="BF261" s="30"/>
      <c r="BG261" s="55"/>
      <c r="BH261" s="29"/>
      <c r="BI261" s="29"/>
      <c r="BJ261" s="30"/>
      <c r="BK261" s="55"/>
      <c r="BL261" s="29"/>
      <c r="BM261" s="29"/>
      <c r="BN261" s="30"/>
      <c r="BO261" s="55"/>
      <c r="BP261" s="29"/>
      <c r="BQ261" s="29"/>
      <c r="BR261" s="30"/>
      <c r="BS261" s="55"/>
      <c r="BT261" s="29"/>
      <c r="BU261" s="29"/>
      <c r="BV261" s="30"/>
      <c r="BW261" s="55"/>
      <c r="BX261" s="29"/>
      <c r="BY261" s="29"/>
      <c r="BZ261" s="30"/>
      <c r="CA261" s="31"/>
    </row>
    <row r="262" spans="1:79" hidden="1">
      <c r="A262" s="71" t="s">
        <v>1242</v>
      </c>
      <c r="B262" s="297"/>
      <c r="C262" s="307" t="s">
        <v>1056</v>
      </c>
      <c r="D262" s="299" t="str">
        <f t="shared" si="55"/>
        <v xml:space="preserve"> 940</v>
      </c>
      <c r="E262" s="308" t="s">
        <v>1056</v>
      </c>
      <c r="F262" s="301">
        <f t="shared" si="56"/>
        <v>0</v>
      </c>
      <c r="G262" s="302" t="s">
        <v>1063</v>
      </c>
      <c r="H262" s="302" t="s">
        <v>1089</v>
      </c>
      <c r="I262" s="302" t="s">
        <v>1135</v>
      </c>
      <c r="J262" s="313">
        <f t="shared" si="64"/>
        <v>65000</v>
      </c>
      <c r="K262" s="312">
        <f t="shared" si="63"/>
        <v>0</v>
      </c>
      <c r="L262" s="314" t="s">
        <v>67</v>
      </c>
      <c r="M262" s="316">
        <v>65000</v>
      </c>
      <c r="N262" s="316">
        <f t="shared" si="69"/>
        <v>8100</v>
      </c>
      <c r="O262" s="306">
        <f t="shared" si="70"/>
        <v>73100</v>
      </c>
      <c r="P262" s="294"/>
      <c r="Q262" s="292" t="s">
        <v>1232</v>
      </c>
      <c r="R262" s="22"/>
      <c r="S262" s="22">
        <f t="shared" si="50"/>
        <v>73100</v>
      </c>
      <c r="T262" s="22">
        <f t="shared" si="51"/>
        <v>104428.57142857143</v>
      </c>
      <c r="U262" s="23">
        <f t="shared" si="52"/>
        <v>119346.93877551021</v>
      </c>
      <c r="V262" s="24">
        <f t="shared" si="53"/>
        <v>0.12499999999999997</v>
      </c>
      <c r="W262" s="23">
        <f t="shared" si="57"/>
        <v>119400</v>
      </c>
      <c r="X262" s="344">
        <f t="shared" si="54"/>
        <v>0.30000000000000004</v>
      </c>
      <c r="Y262" s="25"/>
      <c r="Z262" s="25"/>
      <c r="AA262" s="25"/>
      <c r="AB262" s="34"/>
      <c r="AC262" s="164"/>
      <c r="AD262" s="35"/>
      <c r="AE262" s="36"/>
      <c r="AF262" s="29"/>
      <c r="AG262" s="29"/>
      <c r="AH262" s="30"/>
      <c r="AI262" s="172" t="s">
        <v>608</v>
      </c>
      <c r="AJ262" s="29"/>
      <c r="AK262" s="29"/>
      <c r="AL262" s="30"/>
      <c r="AM262" s="172" t="s">
        <v>608</v>
      </c>
      <c r="AN262" s="29"/>
      <c r="AO262" s="29"/>
      <c r="AP262" s="30"/>
      <c r="AQ262" s="172" t="s">
        <v>608</v>
      </c>
      <c r="AR262" s="29"/>
      <c r="AS262" s="29"/>
      <c r="AT262" s="30"/>
      <c r="AU262" s="172" t="s">
        <v>608</v>
      </c>
      <c r="AV262" s="29"/>
      <c r="AW262" s="29"/>
      <c r="AX262" s="30"/>
      <c r="AY262" s="55"/>
      <c r="AZ262" s="29"/>
      <c r="BA262" s="29"/>
      <c r="BB262" s="30"/>
      <c r="BC262" s="172"/>
      <c r="BD262" s="29"/>
      <c r="BE262" s="29"/>
      <c r="BF262" s="30"/>
      <c r="BG262" s="55"/>
      <c r="BH262" s="29"/>
      <c r="BI262" s="29"/>
      <c r="BJ262" s="30"/>
      <c r="BK262" s="172" t="s">
        <v>751</v>
      </c>
      <c r="BL262" s="29"/>
      <c r="BM262" s="29"/>
      <c r="BN262" s="30"/>
      <c r="BO262" s="55"/>
      <c r="BP262" s="29"/>
      <c r="BQ262" s="29"/>
      <c r="BR262" s="30"/>
      <c r="BS262" s="55"/>
      <c r="BT262" s="29"/>
      <c r="BU262" s="29"/>
      <c r="BV262" s="30"/>
      <c r="BW262" s="55"/>
      <c r="BX262" s="29"/>
      <c r="BY262" s="29"/>
      <c r="BZ262" s="30"/>
      <c r="CA262" s="31"/>
    </row>
    <row r="263" spans="1:79" hidden="1">
      <c r="A263" s="71" t="s">
        <v>1242</v>
      </c>
      <c r="B263" s="297"/>
      <c r="C263" s="307" t="s">
        <v>1057</v>
      </c>
      <c r="D263" s="299" t="str">
        <f t="shared" si="55"/>
        <v xml:space="preserve"> 890</v>
      </c>
      <c r="E263" s="308" t="s">
        <v>1057</v>
      </c>
      <c r="F263" s="301">
        <f t="shared" si="56"/>
        <v>0</v>
      </c>
      <c r="G263" s="302" t="s">
        <v>1063</v>
      </c>
      <c r="H263" s="302" t="s">
        <v>1089</v>
      </c>
      <c r="I263" s="302" t="s">
        <v>1135</v>
      </c>
      <c r="J263" s="313">
        <f t="shared" si="64"/>
        <v>65000</v>
      </c>
      <c r="K263" s="312">
        <f t="shared" si="63"/>
        <v>0</v>
      </c>
      <c r="L263" s="314" t="s">
        <v>67</v>
      </c>
      <c r="M263" s="316">
        <v>65000</v>
      </c>
      <c r="N263" s="316">
        <f t="shared" si="69"/>
        <v>8100</v>
      </c>
      <c r="O263" s="306">
        <f t="shared" si="70"/>
        <v>73100</v>
      </c>
      <c r="P263" s="294"/>
      <c r="Q263" s="292" t="s">
        <v>1232</v>
      </c>
      <c r="R263" s="22"/>
      <c r="S263" s="22">
        <f t="shared" ref="S263:S268" si="71">R263+O263</f>
        <v>73100</v>
      </c>
      <c r="T263" s="22">
        <f t="shared" ref="T263:T267" si="72">S263/0.7</f>
        <v>104428.57142857143</v>
      </c>
      <c r="U263" s="23">
        <f t="shared" ref="U263:U267" si="73">T263/0.875</f>
        <v>119346.93877551021</v>
      </c>
      <c r="V263" s="24">
        <f t="shared" ref="V263:V267" si="74">(U263-T263)/U263</f>
        <v>0.12499999999999997</v>
      </c>
      <c r="W263" s="23">
        <f t="shared" si="57"/>
        <v>119400</v>
      </c>
      <c r="X263" s="344">
        <f t="shared" ref="X263:X268" si="75">(T263-O263)/T263</f>
        <v>0.30000000000000004</v>
      </c>
      <c r="Y263" s="25"/>
      <c r="Z263" s="25"/>
      <c r="AA263" s="37"/>
      <c r="AB263" s="26"/>
      <c r="AC263" s="164"/>
      <c r="AD263" s="35"/>
      <c r="AE263" s="36"/>
      <c r="AF263" s="29"/>
      <c r="AG263" s="29"/>
      <c r="AH263" s="30"/>
      <c r="AI263" s="172" t="s">
        <v>608</v>
      </c>
      <c r="AJ263" s="29"/>
      <c r="AK263" s="29"/>
      <c r="AL263" s="30"/>
      <c r="AM263" s="172" t="s">
        <v>608</v>
      </c>
      <c r="AN263" s="29"/>
      <c r="AO263" s="29"/>
      <c r="AP263" s="30"/>
      <c r="AQ263" s="172" t="s">
        <v>608</v>
      </c>
      <c r="AR263" s="29"/>
      <c r="AS263" s="29"/>
      <c r="AT263" s="30"/>
      <c r="AU263" s="172" t="s">
        <v>608</v>
      </c>
      <c r="AV263" s="29"/>
      <c r="AW263" s="29"/>
      <c r="AX263" s="30"/>
      <c r="AY263" s="55"/>
      <c r="AZ263" s="29"/>
      <c r="BA263" s="29"/>
      <c r="BB263" s="30"/>
      <c r="BC263" s="172"/>
      <c r="BD263" s="29"/>
      <c r="BE263" s="29"/>
      <c r="BF263" s="30"/>
      <c r="BG263" s="55"/>
      <c r="BH263" s="29"/>
      <c r="BI263" s="29"/>
      <c r="BJ263" s="30"/>
      <c r="BK263" s="172" t="s">
        <v>751</v>
      </c>
      <c r="BL263" s="29"/>
      <c r="BM263" s="29"/>
      <c r="BN263" s="30"/>
      <c r="BO263" s="55"/>
      <c r="BP263" s="29"/>
      <c r="BQ263" s="29"/>
      <c r="BR263" s="30"/>
      <c r="BS263" s="55"/>
      <c r="BT263" s="29"/>
      <c r="BU263" s="29"/>
      <c r="BV263" s="30"/>
      <c r="BW263" s="55"/>
      <c r="BX263" s="29"/>
      <c r="BY263" s="29"/>
      <c r="BZ263" s="30"/>
      <c r="CA263" s="31"/>
    </row>
    <row r="264" spans="1:79" hidden="1">
      <c r="A264" s="71" t="s">
        <v>1242</v>
      </c>
      <c r="B264" s="297"/>
      <c r="C264" s="307" t="s">
        <v>1058</v>
      </c>
      <c r="D264" s="299" t="str">
        <f t="shared" ref="D264:D268" si="76">REPLACE(C264,1,3, )</f>
        <v xml:space="preserve"> 618</v>
      </c>
      <c r="E264" s="308" t="s">
        <v>1058</v>
      </c>
      <c r="F264" s="301">
        <f t="shared" ref="F264:F268" si="77">IF(C264=E264,0,1)</f>
        <v>0</v>
      </c>
      <c r="G264" s="302" t="s">
        <v>1063</v>
      </c>
      <c r="H264" s="302" t="s">
        <v>1089</v>
      </c>
      <c r="I264" s="302" t="s">
        <v>1135</v>
      </c>
      <c r="J264" s="313">
        <f t="shared" si="64"/>
        <v>91000</v>
      </c>
      <c r="K264" s="312">
        <f t="shared" si="63"/>
        <v>0</v>
      </c>
      <c r="L264" s="314" t="s">
        <v>67</v>
      </c>
      <c r="M264" s="316">
        <v>91000</v>
      </c>
      <c r="N264" s="316">
        <f t="shared" si="69"/>
        <v>8100</v>
      </c>
      <c r="O264" s="306">
        <f t="shared" si="70"/>
        <v>99100</v>
      </c>
      <c r="P264" s="294"/>
      <c r="Q264" s="292" t="s">
        <v>1232</v>
      </c>
      <c r="R264" s="22"/>
      <c r="S264" s="22">
        <f t="shared" si="71"/>
        <v>99100</v>
      </c>
      <c r="T264" s="22">
        <f t="shared" si="72"/>
        <v>141571.42857142858</v>
      </c>
      <c r="U264" s="23">
        <f t="shared" si="73"/>
        <v>161795.91836734695</v>
      </c>
      <c r="V264" s="24">
        <f t="shared" si="74"/>
        <v>0.12500000000000003</v>
      </c>
      <c r="W264" s="23">
        <f t="shared" ref="W264:W268" si="78">(ROUNDUP((U264/100),0))*100</f>
        <v>161800</v>
      </c>
      <c r="X264" s="344">
        <f t="shared" si="75"/>
        <v>0.30000000000000004</v>
      </c>
      <c r="Y264" s="25"/>
      <c r="Z264" s="25"/>
      <c r="AA264" s="25"/>
      <c r="AB264" s="34"/>
      <c r="AC264" s="164"/>
      <c r="AD264" s="35"/>
      <c r="AE264" s="36"/>
      <c r="AF264" s="29"/>
      <c r="AG264" s="29"/>
      <c r="AH264" s="30"/>
      <c r="AI264" s="172" t="s">
        <v>608</v>
      </c>
      <c r="AJ264" s="29"/>
      <c r="AK264" s="29"/>
      <c r="AL264" s="30"/>
      <c r="AM264" s="172" t="s">
        <v>608</v>
      </c>
      <c r="AN264" s="29"/>
      <c r="AO264" s="29"/>
      <c r="AP264" s="30"/>
      <c r="AQ264" s="172" t="s">
        <v>608</v>
      </c>
      <c r="AR264" s="29"/>
      <c r="AS264" s="29"/>
      <c r="AT264" s="30"/>
      <c r="AU264" s="172" t="s">
        <v>608</v>
      </c>
      <c r="AV264" s="29"/>
      <c r="AW264" s="29"/>
      <c r="AX264" s="30"/>
      <c r="AY264" s="55"/>
      <c r="AZ264" s="29"/>
      <c r="BA264" s="29"/>
      <c r="BB264" s="30"/>
      <c r="BC264" s="172"/>
      <c r="BD264" s="29"/>
      <c r="BE264" s="29"/>
      <c r="BF264" s="30"/>
      <c r="BG264" s="55"/>
      <c r="BH264" s="29"/>
      <c r="BI264" s="29"/>
      <c r="BJ264" s="30"/>
      <c r="BK264" s="172" t="s">
        <v>751</v>
      </c>
      <c r="BL264" s="29"/>
      <c r="BM264" s="29"/>
      <c r="BN264" s="30"/>
      <c r="BO264" s="55"/>
      <c r="BP264" s="29"/>
      <c r="BQ264" s="29"/>
      <c r="BR264" s="30"/>
      <c r="BS264" s="55"/>
      <c r="BT264" s="29"/>
      <c r="BU264" s="29"/>
      <c r="BV264" s="30"/>
      <c r="BW264" s="55"/>
      <c r="BX264" s="29"/>
      <c r="BY264" s="29"/>
      <c r="BZ264" s="30"/>
      <c r="CA264" s="31"/>
    </row>
    <row r="265" spans="1:79" hidden="1">
      <c r="A265" s="71" t="s">
        <v>1242</v>
      </c>
      <c r="B265" s="297"/>
      <c r="C265" s="307" t="s">
        <v>1059</v>
      </c>
      <c r="D265" s="299" t="str">
        <f t="shared" si="76"/>
        <v xml:space="preserve"> 479</v>
      </c>
      <c r="E265" s="308" t="s">
        <v>1059</v>
      </c>
      <c r="F265" s="301">
        <f t="shared" si="77"/>
        <v>0</v>
      </c>
      <c r="G265" s="302" t="s">
        <v>1063</v>
      </c>
      <c r="H265" s="302" t="s">
        <v>1089</v>
      </c>
      <c r="I265" s="302" t="s">
        <v>1135</v>
      </c>
      <c r="J265" s="313">
        <f t="shared" si="64"/>
        <v>69000</v>
      </c>
      <c r="K265" s="312">
        <f t="shared" si="63"/>
        <v>0</v>
      </c>
      <c r="L265" s="314" t="s">
        <v>67</v>
      </c>
      <c r="M265" s="316">
        <v>69000</v>
      </c>
      <c r="N265" s="316">
        <f t="shared" si="69"/>
        <v>8100</v>
      </c>
      <c r="O265" s="306">
        <f t="shared" si="70"/>
        <v>77100</v>
      </c>
      <c r="P265" s="294"/>
      <c r="Q265" s="292" t="s">
        <v>1232</v>
      </c>
      <c r="R265" s="22"/>
      <c r="S265" s="22">
        <f t="shared" si="71"/>
        <v>77100</v>
      </c>
      <c r="T265" s="22">
        <f t="shared" si="72"/>
        <v>110142.85714285714</v>
      </c>
      <c r="U265" s="23">
        <f t="shared" si="73"/>
        <v>125877.55102040817</v>
      </c>
      <c r="V265" s="24">
        <f t="shared" si="74"/>
        <v>0.125</v>
      </c>
      <c r="W265" s="23">
        <f t="shared" si="78"/>
        <v>125900</v>
      </c>
      <c r="X265" s="344">
        <f t="shared" si="75"/>
        <v>0.3</v>
      </c>
      <c r="Y265" s="25"/>
      <c r="Z265" s="25"/>
      <c r="AA265" s="37"/>
      <c r="AB265" s="34" t="s">
        <v>98</v>
      </c>
      <c r="AC265" s="26">
        <f>AVERAGE(X265,X264,X263,X262,X260,X259,X258,X257,X256,X255)</f>
        <v>0.3</v>
      </c>
      <c r="AD265" s="46">
        <f>AVERAGE(T255,T256,T257,T258,T259,T260,T262,T263,T264,T265)</f>
        <v>115571.42857142857</v>
      </c>
      <c r="AE265" s="28">
        <f>AVERAGE(AI265,AM265,AQ265,AU265,BC265,BK265,BO265,BS265,BW265)</f>
        <v>128758.8</v>
      </c>
      <c r="AF265" s="180">
        <v>125714.28571428571</v>
      </c>
      <c r="AG265" s="181">
        <v>121556</v>
      </c>
      <c r="AH265" s="21">
        <f>(AD265-AF265)/AF265</f>
        <v>-8.0681818181818202E-2</v>
      </c>
      <c r="AI265" s="59">
        <v>112836</v>
      </c>
      <c r="AJ265" s="180">
        <f>78629/0.7</f>
        <v>112327.14285714287</v>
      </c>
      <c r="AK265" s="180">
        <v>108800</v>
      </c>
      <c r="AL265" s="21">
        <f>(AI265-AJ265)/AJ265</f>
        <v>4.5301351918502234E-3</v>
      </c>
      <c r="AM265" s="41">
        <v>115467</v>
      </c>
      <c r="AN265" s="180">
        <f>76943/0.7</f>
        <v>109918.57142857143</v>
      </c>
      <c r="AO265" s="180">
        <v>107667</v>
      </c>
      <c r="AP265" s="21">
        <f>(AM265-AN265)/AN265</f>
        <v>5.0477626294789593E-2</v>
      </c>
      <c r="AQ265" s="38">
        <v>133931</v>
      </c>
      <c r="AR265" s="180">
        <f>95918/0.7</f>
        <v>137025.71428571429</v>
      </c>
      <c r="AS265" s="180">
        <v>138477</v>
      </c>
      <c r="AT265" s="21">
        <f>(AQ265-AR265)/AR265</f>
        <v>-2.2584916282658133E-2</v>
      </c>
      <c r="AU265" s="38">
        <v>140310</v>
      </c>
      <c r="AV265" s="180">
        <f>101815/0.7</f>
        <v>145450</v>
      </c>
      <c r="AW265" s="180">
        <v>145450</v>
      </c>
      <c r="AX265" s="21">
        <f>(AU265-AV265)/AV265</f>
        <v>-3.5338604331385352E-2</v>
      </c>
      <c r="AY265" s="57"/>
      <c r="AZ265" s="38">
        <f>84861/0.7</f>
        <v>121230.00000000001</v>
      </c>
      <c r="BA265" s="29"/>
      <c r="BB265" s="30"/>
      <c r="BC265" s="55"/>
      <c r="BD265" s="180">
        <v>128775</v>
      </c>
      <c r="BE265" s="180">
        <v>122471</v>
      </c>
      <c r="BF265" s="21">
        <f>(BC265-BD265)/BD265</f>
        <v>-1</v>
      </c>
      <c r="BG265" s="57"/>
      <c r="BH265" s="29"/>
      <c r="BI265" s="29"/>
      <c r="BJ265" s="30"/>
      <c r="BK265" s="38">
        <v>141250</v>
      </c>
      <c r="BL265" s="180">
        <f>91400/0.7</f>
        <v>130571.42857142858</v>
      </c>
      <c r="BM265" s="180">
        <v>124834</v>
      </c>
      <c r="BN265" s="21">
        <f>(BK265-BL265)/BL265</f>
        <v>8.1783369803063388E-2</v>
      </c>
      <c r="BO265" s="57"/>
      <c r="BP265" s="180">
        <f>91127/0.7</f>
        <v>130181.42857142858</v>
      </c>
      <c r="BQ265" s="29"/>
      <c r="BR265" s="30"/>
      <c r="BS265" s="55"/>
      <c r="BT265" s="29"/>
      <c r="BU265" s="29"/>
      <c r="BV265" s="30"/>
      <c r="BW265" s="55"/>
      <c r="BX265" s="29"/>
      <c r="BY265" s="29"/>
      <c r="BZ265" s="30"/>
      <c r="CA265" s="31"/>
    </row>
    <row r="266" spans="1:79" hidden="1">
      <c r="B266" s="297"/>
      <c r="C266" s="307" t="s">
        <v>1060</v>
      </c>
      <c r="D266" s="299" t="str">
        <f t="shared" si="76"/>
        <v xml:space="preserve"> 817</v>
      </c>
      <c r="E266" s="308" t="s">
        <v>1060</v>
      </c>
      <c r="F266" s="301">
        <f t="shared" si="77"/>
        <v>0</v>
      </c>
      <c r="G266" s="302" t="s">
        <v>1063</v>
      </c>
      <c r="H266" s="302" t="s">
        <v>1092</v>
      </c>
      <c r="I266" s="302" t="s">
        <v>1136</v>
      </c>
      <c r="J266" s="313">
        <f t="shared" si="64"/>
        <v>52500</v>
      </c>
      <c r="K266" s="312">
        <f t="shared" si="63"/>
        <v>0</v>
      </c>
      <c r="L266" s="314" t="s">
        <v>67</v>
      </c>
      <c r="M266" s="316">
        <v>52500</v>
      </c>
      <c r="N266" s="316">
        <v>4200</v>
      </c>
      <c r="O266" s="306">
        <f t="shared" si="70"/>
        <v>56700</v>
      </c>
      <c r="P266" s="294"/>
      <c r="Q266" s="292" t="s">
        <v>1233</v>
      </c>
      <c r="R266" s="22"/>
      <c r="S266" s="22">
        <f t="shared" si="71"/>
        <v>56700</v>
      </c>
      <c r="T266" s="22">
        <f t="shared" si="72"/>
        <v>81000</v>
      </c>
      <c r="U266" s="23">
        <f t="shared" si="73"/>
        <v>92571.428571428565</v>
      </c>
      <c r="V266" s="24">
        <f t="shared" si="74"/>
        <v>0.12499999999999994</v>
      </c>
      <c r="W266" s="23">
        <f t="shared" si="78"/>
        <v>92600</v>
      </c>
      <c r="X266" s="164">
        <f t="shared" si="75"/>
        <v>0.3</v>
      </c>
      <c r="Y266" s="25"/>
      <c r="Z266" s="25"/>
      <c r="AA266" s="37"/>
      <c r="AB266" s="26"/>
      <c r="AC266" s="164"/>
      <c r="AD266" s="46">
        <f>T266</f>
        <v>81000</v>
      </c>
      <c r="AE266" s="36"/>
      <c r="AF266" s="29"/>
      <c r="AG266" s="29"/>
      <c r="AH266" s="30"/>
      <c r="AI266" s="171">
        <v>83812</v>
      </c>
      <c r="AJ266" s="29"/>
      <c r="AK266" s="29"/>
      <c r="AL266" s="30"/>
      <c r="AM266" s="55"/>
      <c r="AN266" s="29"/>
      <c r="AO266" s="29"/>
      <c r="AP266" s="30"/>
      <c r="AQ266" s="55"/>
      <c r="AR266" s="29"/>
      <c r="AS266" s="29"/>
      <c r="AT266" s="30"/>
      <c r="AU266" s="55"/>
      <c r="AV266" s="29"/>
      <c r="AW266" s="29"/>
      <c r="AX266" s="30"/>
      <c r="AY266" s="55"/>
      <c r="AZ266" s="29"/>
      <c r="BA266" s="29"/>
      <c r="BB266" s="30"/>
      <c r="BC266" s="55"/>
      <c r="BD266" s="29"/>
      <c r="BE266" s="29"/>
      <c r="BF266" s="30"/>
      <c r="BG266" s="55"/>
      <c r="BH266" s="29"/>
      <c r="BI266" s="29"/>
      <c r="BJ266" s="30"/>
      <c r="BK266" s="44">
        <v>112000</v>
      </c>
      <c r="BL266" s="29"/>
      <c r="BM266" s="29"/>
      <c r="BN266" s="30"/>
      <c r="BO266" s="55"/>
      <c r="BP266" s="29"/>
      <c r="BQ266" s="29"/>
      <c r="BR266" s="30"/>
      <c r="BS266" s="55"/>
      <c r="BT266" s="29"/>
      <c r="BU266" s="29"/>
      <c r="BV266" s="30"/>
      <c r="BW266" s="55"/>
      <c r="BX266" s="29"/>
      <c r="BY266" s="29"/>
      <c r="BZ266" s="30"/>
      <c r="CA266" s="31"/>
    </row>
    <row r="267" spans="1:79" hidden="1">
      <c r="B267" s="297"/>
      <c r="C267" s="307" t="s">
        <v>1061</v>
      </c>
      <c r="D267" s="299" t="str">
        <f t="shared" si="76"/>
        <v xml:space="preserve"> 983</v>
      </c>
      <c r="E267" s="308" t="s">
        <v>1061</v>
      </c>
      <c r="F267" s="301">
        <f t="shared" si="77"/>
        <v>0</v>
      </c>
      <c r="G267" s="302" t="s">
        <v>1063</v>
      </c>
      <c r="H267" s="302" t="s">
        <v>1093</v>
      </c>
      <c r="I267" s="302" t="s">
        <v>1136</v>
      </c>
      <c r="J267" s="313">
        <f t="shared" si="64"/>
        <v>71500</v>
      </c>
      <c r="K267" s="312">
        <f t="shared" si="63"/>
        <v>0</v>
      </c>
      <c r="L267" s="314" t="s">
        <v>67</v>
      </c>
      <c r="M267" s="316">
        <v>71500</v>
      </c>
      <c r="N267" s="316">
        <v>6450</v>
      </c>
      <c r="O267" s="306">
        <f t="shared" si="70"/>
        <v>77950</v>
      </c>
      <c r="P267" s="294"/>
      <c r="Q267" s="292" t="s">
        <v>1234</v>
      </c>
      <c r="R267" s="22"/>
      <c r="S267" s="22">
        <f t="shared" si="71"/>
        <v>77950</v>
      </c>
      <c r="T267" s="22">
        <f t="shared" si="72"/>
        <v>111357.14285714287</v>
      </c>
      <c r="U267" s="23">
        <f t="shared" si="73"/>
        <v>127265.30612244899</v>
      </c>
      <c r="V267" s="24">
        <f t="shared" si="74"/>
        <v>0.125</v>
      </c>
      <c r="W267" s="23">
        <f t="shared" si="78"/>
        <v>127300</v>
      </c>
      <c r="X267" s="164">
        <f t="shared" si="75"/>
        <v>0.3000000000000001</v>
      </c>
      <c r="Y267" s="25"/>
      <c r="Z267" s="25"/>
      <c r="AA267" s="25"/>
      <c r="AB267" s="34"/>
      <c r="AC267" s="164"/>
      <c r="AD267" s="35"/>
      <c r="AE267" s="36"/>
      <c r="AF267" s="29"/>
      <c r="AG267" s="29"/>
      <c r="AH267" s="30"/>
      <c r="AI267" s="172" t="s">
        <v>608</v>
      </c>
      <c r="AJ267" s="29"/>
      <c r="AK267" s="29"/>
      <c r="AL267" s="30"/>
      <c r="AM267" s="172" t="s">
        <v>608</v>
      </c>
      <c r="AN267" s="29"/>
      <c r="AO267" s="29"/>
      <c r="AP267" s="30"/>
      <c r="AQ267" s="172" t="s">
        <v>608</v>
      </c>
      <c r="AR267" s="29"/>
      <c r="AS267" s="29"/>
      <c r="AT267" s="30"/>
      <c r="AU267" s="172" t="s">
        <v>608</v>
      </c>
      <c r="AV267" s="29"/>
      <c r="AW267" s="29"/>
      <c r="AX267" s="30"/>
      <c r="AY267" s="55"/>
      <c r="AZ267" s="29"/>
      <c r="BA267" s="29"/>
      <c r="BB267" s="30"/>
      <c r="BC267" s="172" t="s">
        <v>751</v>
      </c>
      <c r="BD267" s="29"/>
      <c r="BE267" s="29"/>
      <c r="BF267" s="30"/>
      <c r="BG267" s="55"/>
      <c r="BH267" s="29"/>
      <c r="BI267" s="29"/>
      <c r="BJ267" s="30"/>
      <c r="BK267" s="172" t="s">
        <v>751</v>
      </c>
      <c r="BL267" s="29"/>
      <c r="BM267" s="29"/>
      <c r="BN267" s="30"/>
      <c r="BO267" s="55"/>
      <c r="BP267" s="29"/>
      <c r="BQ267" s="29"/>
      <c r="BR267" s="30"/>
      <c r="BS267" s="55"/>
      <c r="BT267" s="29"/>
      <c r="BU267" s="29"/>
      <c r="BV267" s="30"/>
      <c r="BW267" s="55"/>
      <c r="BX267" s="29"/>
      <c r="BY267" s="29"/>
      <c r="BZ267" s="30"/>
      <c r="CA267" s="31"/>
    </row>
    <row r="268" spans="1:79" hidden="1">
      <c r="B268" s="297"/>
      <c r="C268" s="307" t="s">
        <v>1062</v>
      </c>
      <c r="D268" s="299" t="str">
        <f t="shared" si="76"/>
        <v xml:space="preserve"> 793</v>
      </c>
      <c r="E268" s="308" t="s">
        <v>1062</v>
      </c>
      <c r="F268" s="301">
        <f t="shared" si="77"/>
        <v>0</v>
      </c>
      <c r="G268" s="302" t="s">
        <v>1063</v>
      </c>
      <c r="H268" s="302" t="s">
        <v>141</v>
      </c>
      <c r="I268" s="302" t="s">
        <v>1136</v>
      </c>
      <c r="J268" s="313">
        <f t="shared" si="64"/>
        <v>66000</v>
      </c>
      <c r="K268" s="312">
        <f t="shared" si="63"/>
        <v>0</v>
      </c>
      <c r="L268" s="314" t="s">
        <v>67</v>
      </c>
      <c r="M268" s="316">
        <v>66000</v>
      </c>
      <c r="N268" s="316">
        <v>4200</v>
      </c>
      <c r="O268" s="306">
        <f>N268+M268</f>
        <v>70200</v>
      </c>
      <c r="P268" s="294"/>
      <c r="Q268" s="292" t="s">
        <v>1233</v>
      </c>
      <c r="R268" s="22"/>
      <c r="S268" s="22">
        <f t="shared" si="71"/>
        <v>70200</v>
      </c>
      <c r="T268" s="22">
        <f>S268/0.7</f>
        <v>100285.71428571429</v>
      </c>
      <c r="U268" s="23">
        <f>T268/0.875</f>
        <v>114612.24489795919</v>
      </c>
      <c r="V268" s="24">
        <f>(U268-T268)/U268</f>
        <v>0.12499999999999999</v>
      </c>
      <c r="W268" s="23">
        <f t="shared" si="78"/>
        <v>114700</v>
      </c>
      <c r="X268" s="164">
        <f t="shared" si="75"/>
        <v>0.30000000000000004</v>
      </c>
      <c r="Y268" s="188">
        <v>121429</v>
      </c>
      <c r="Z268" s="188">
        <f>T268-Y268</f>
        <v>-21143.28571428571</v>
      </c>
      <c r="AA268" s="189">
        <f>Z268/Y268</f>
        <v>-0.17412056192742845</v>
      </c>
      <c r="AB268" s="26"/>
      <c r="AC268" s="164"/>
      <c r="AD268" s="35"/>
      <c r="AE268" s="36"/>
      <c r="AF268" s="29"/>
      <c r="AG268" s="29"/>
      <c r="AH268" s="30"/>
      <c r="AI268" s="172" t="s">
        <v>608</v>
      </c>
      <c r="AJ268" s="29"/>
      <c r="AK268" s="29"/>
      <c r="AL268" s="30"/>
      <c r="AM268" s="172" t="s">
        <v>608</v>
      </c>
      <c r="AN268" s="29"/>
      <c r="AO268" s="29"/>
      <c r="AP268" s="30"/>
      <c r="AQ268" s="172" t="s">
        <v>608</v>
      </c>
      <c r="AR268" s="29"/>
      <c r="AS268" s="29"/>
      <c r="AT268" s="30"/>
      <c r="AU268" s="172" t="s">
        <v>608</v>
      </c>
      <c r="AV268" s="29"/>
      <c r="AW268" s="29"/>
      <c r="AX268" s="30"/>
      <c r="AY268" s="55"/>
      <c r="AZ268" s="29"/>
      <c r="BA268" s="29"/>
      <c r="BB268" s="30"/>
      <c r="BC268" s="172" t="s">
        <v>751</v>
      </c>
      <c r="BD268" s="29"/>
      <c r="BE268" s="29"/>
      <c r="BF268" s="30"/>
      <c r="BG268" s="55"/>
      <c r="BH268" s="29"/>
      <c r="BI268" s="29"/>
      <c r="BJ268" s="30"/>
      <c r="BK268" s="172" t="s">
        <v>751</v>
      </c>
      <c r="BL268" s="29"/>
      <c r="BM268" s="29"/>
      <c r="BN268" s="30"/>
      <c r="BO268" s="55"/>
      <c r="BP268" s="29"/>
      <c r="BQ268" s="29"/>
      <c r="BR268" s="30"/>
      <c r="BS268" s="55"/>
      <c r="BT268" s="29"/>
      <c r="BU268" s="29"/>
      <c r="BV268" s="30"/>
      <c r="BW268" s="55"/>
      <c r="BX268" s="29"/>
      <c r="BY268" s="29"/>
      <c r="BZ268" s="30"/>
      <c r="CA268" s="31"/>
    </row>
    <row r="269" spans="1:79" hidden="1">
      <c r="X269" s="166"/>
      <c r="AC269" s="166" t="s">
        <v>512</v>
      </c>
      <c r="AD269" s="2" t="s">
        <v>512</v>
      </c>
      <c r="AI269" s="76"/>
      <c r="AM269" s="76"/>
    </row>
    <row r="270" spans="1:79" hidden="1">
      <c r="J270" s="320">
        <f>SUM(J5:J269)</f>
        <v>18895700</v>
      </c>
      <c r="K270" s="61">
        <f>SUM(K5:K269)</f>
        <v>1228800</v>
      </c>
      <c r="M270" s="61">
        <f>SUM(M5:M269)</f>
        <v>17743400</v>
      </c>
      <c r="N270" s="61">
        <f>SUM(N5:N269)</f>
        <v>1524550</v>
      </c>
      <c r="O270" s="61">
        <f>SUM(O5:O269)</f>
        <v>19267950</v>
      </c>
      <c r="P270" s="212"/>
      <c r="X270" s="166"/>
      <c r="AC270" s="166"/>
    </row>
    <row r="271" spans="1:79" customFormat="1" hidden="1">
      <c r="A271" s="62"/>
      <c r="B271" s="63" t="s">
        <v>527</v>
      </c>
      <c r="C271" s="64"/>
      <c r="D271" s="65"/>
      <c r="F271" s="67"/>
      <c r="H271" s="65"/>
      <c r="J271" s="321"/>
      <c r="K271" s="67"/>
      <c r="L271" s="67"/>
      <c r="M271" s="68"/>
      <c r="N271" s="69"/>
      <c r="O271" s="69"/>
      <c r="P271" s="213"/>
      <c r="Q271" s="67"/>
      <c r="R271" s="72"/>
      <c r="X271" s="165"/>
      <c r="AC271" s="165"/>
    </row>
    <row r="272" spans="1:79" customFormat="1" hidden="1">
      <c r="A272" s="62"/>
      <c r="B272" s="63" t="s">
        <v>528</v>
      </c>
      <c r="C272" s="64"/>
      <c r="F272" s="67"/>
      <c r="H272" s="65"/>
      <c r="J272" s="321"/>
      <c r="K272" s="67"/>
      <c r="L272" s="67"/>
      <c r="M272" s="68"/>
      <c r="N272" s="69"/>
      <c r="O272" s="69"/>
      <c r="P272" s="213"/>
      <c r="Q272" s="67"/>
      <c r="R272" s="72"/>
      <c r="X272" s="165"/>
      <c r="AC272" s="165"/>
    </row>
    <row r="273" spans="1:31" customFormat="1" hidden="1">
      <c r="A273" s="62"/>
      <c r="B273" s="63" t="s">
        <v>529</v>
      </c>
      <c r="C273" s="65"/>
      <c r="F273" s="67"/>
      <c r="H273" s="65"/>
      <c r="J273" s="321"/>
      <c r="K273" s="67"/>
      <c r="L273" s="67"/>
      <c r="M273" s="68"/>
      <c r="N273" s="69"/>
      <c r="O273" s="69"/>
      <c r="P273" s="213"/>
      <c r="Q273" s="67"/>
      <c r="R273" s="72"/>
      <c r="X273" s="165"/>
      <c r="AC273" s="165"/>
      <c r="AE273" s="28" t="e">
        <f>AVERAGE(AI273,AM273,AQ273,AU273,BC273,BK273,BO273,BS273,BW273)</f>
        <v>#DIV/0!</v>
      </c>
    </row>
    <row r="274" spans="1:31" customFormat="1" hidden="1">
      <c r="A274" s="62"/>
      <c r="B274" s="63" t="s">
        <v>530</v>
      </c>
      <c r="C274" s="65"/>
      <c r="D274" s="65"/>
      <c r="F274" s="67"/>
      <c r="H274" s="65"/>
      <c r="J274" s="321"/>
      <c r="K274" s="67"/>
      <c r="L274" s="67"/>
      <c r="M274" s="68"/>
      <c r="N274" s="69"/>
      <c r="O274" s="69"/>
      <c r="P274" s="213"/>
      <c r="Q274" s="67"/>
      <c r="R274" s="72"/>
      <c r="X274" s="165"/>
      <c r="AC274" s="165"/>
    </row>
    <row r="275" spans="1:31">
      <c r="A275" s="71"/>
    </row>
    <row r="277" spans="1:31">
      <c r="H277" s="89" t="s">
        <v>849</v>
      </c>
    </row>
    <row r="278" spans="1:31">
      <c r="H278" s="89" t="s">
        <v>850</v>
      </c>
    </row>
    <row r="279" spans="1:31">
      <c r="H279" s="89" t="s">
        <v>851</v>
      </c>
    </row>
    <row r="280" spans="1:31">
      <c r="H280" s="89" t="s">
        <v>852</v>
      </c>
    </row>
    <row r="281" spans="1:31">
      <c r="H281" s="71"/>
    </row>
    <row r="282" spans="1:31">
      <c r="H282" s="71" t="s">
        <v>859</v>
      </c>
    </row>
    <row r="283" spans="1:31">
      <c r="H283" s="71" t="s">
        <v>860</v>
      </c>
    </row>
    <row r="284" spans="1:31">
      <c r="H284" s="71" t="s">
        <v>861</v>
      </c>
    </row>
    <row r="286" spans="1:31">
      <c r="H286" s="71" t="s">
        <v>862</v>
      </c>
    </row>
  </sheetData>
  <autoFilter ref="A4:CA274">
    <filterColumn colId="8">
      <filters>
        <filter val="Dani - SDR"/>
      </filters>
    </filterColumn>
  </autoFilter>
  <mergeCells count="14">
    <mergeCell ref="BK3:BM3"/>
    <mergeCell ref="BO3:BQ3"/>
    <mergeCell ref="BS3:BU3"/>
    <mergeCell ref="BW3:BY3"/>
    <mergeCell ref="AQ3:AS3"/>
    <mergeCell ref="AU3:AW3"/>
    <mergeCell ref="AY3:BA3"/>
    <mergeCell ref="BC3:BE3"/>
    <mergeCell ref="BG3:BI3"/>
    <mergeCell ref="AM3:AO3"/>
    <mergeCell ref="R3:X3"/>
    <mergeCell ref="AB3:AD3"/>
    <mergeCell ref="AF3:AH3"/>
    <mergeCell ref="AI3:AK3"/>
  </mergeCells>
  <conditionalFormatting sqref="AA6:AA268">
    <cfRule type="cellIs" dxfId="3" priority="1" operator="greaterThan">
      <formula>0.7</formula>
    </cfRule>
    <cfRule type="cellIs" dxfId="2" priority="2" operator="greaterThan">
      <formula>7</formula>
    </cfRule>
  </conditionalFormatting>
  <conditionalFormatting sqref="D5:D268">
    <cfRule type="duplicateValues" dxfId="1" priority="38"/>
    <cfRule type="duplicateValues" dxfId="0" priority="39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92D050"/>
    <pageSetUpPr fitToPage="1"/>
  </sheetPr>
  <dimension ref="A2:E60"/>
  <sheetViews>
    <sheetView workbookViewId="0">
      <pane ySplit="6" topLeftCell="A7" activePane="bottomLeft" state="frozen"/>
      <selection pane="bottomLeft" activeCell="D58" sqref="D58"/>
    </sheetView>
  </sheetViews>
  <sheetFormatPr defaultColWidth="9.109375" defaultRowHeight="14.4"/>
  <cols>
    <col min="1" max="1" width="5.109375" style="77" customWidth="1"/>
    <col min="2" max="2" width="29.88671875" style="71" bestFit="1" customWidth="1"/>
    <col min="3" max="3" width="11.109375" style="75" customWidth="1"/>
    <col min="4" max="4" width="11.109375" style="76" customWidth="1"/>
    <col min="5" max="5" width="14" style="76" customWidth="1"/>
    <col min="6" max="16384" width="9.109375" style="71"/>
  </cols>
  <sheetData>
    <row r="2" spans="1:5">
      <c r="A2" s="85" t="s">
        <v>540</v>
      </c>
    </row>
    <row r="3" spans="1:5">
      <c r="A3" s="85" t="s">
        <v>539</v>
      </c>
    </row>
    <row r="4" spans="1:5" ht="3.75" customHeight="1">
      <c r="A4" s="84"/>
    </row>
    <row r="5" spans="1:5" ht="18.75" customHeight="1">
      <c r="A5" s="329" t="s">
        <v>535</v>
      </c>
      <c r="B5" s="329" t="s">
        <v>531</v>
      </c>
      <c r="C5" s="330" t="s">
        <v>536</v>
      </c>
      <c r="D5" s="330"/>
      <c r="E5" s="331" t="s">
        <v>534</v>
      </c>
    </row>
    <row r="6" spans="1:5" ht="18.75" customHeight="1">
      <c r="A6" s="329"/>
      <c r="B6" s="329"/>
      <c r="C6" s="86" t="s">
        <v>532</v>
      </c>
      <c r="D6" s="87" t="s">
        <v>533</v>
      </c>
      <c r="E6" s="332"/>
    </row>
    <row r="7" spans="1:5">
      <c r="A7" s="77">
        <v>1</v>
      </c>
      <c r="B7" s="71" t="s">
        <v>66</v>
      </c>
      <c r="C7" s="91">
        <f>'Harga Jual INF_021117'!AC116</f>
        <v>0.3</v>
      </c>
      <c r="D7" s="80">
        <f>'Harga Jual INF_021117'!AD116</f>
        <v>107807.14285714287</v>
      </c>
      <c r="E7" s="76">
        <f>'Harga Jual INF_021117'!AE116</f>
        <v>90530.666666666672</v>
      </c>
    </row>
    <row r="8" spans="1:5">
      <c r="A8" s="77">
        <f>A7+1</f>
        <v>2</v>
      </c>
      <c r="B8" s="71" t="s">
        <v>74</v>
      </c>
      <c r="C8" s="91">
        <f>'Harga Jual INF_021117'!AC41</f>
        <v>0.30000000000000004</v>
      </c>
      <c r="D8" s="78">
        <f>'Harga Jual INF_021117'!AD41</f>
        <v>86988.095238095251</v>
      </c>
      <c r="E8" s="76">
        <f>'Harga Jual INF_021117'!AE41</f>
        <v>123276.16666666667</v>
      </c>
    </row>
    <row r="9" spans="1:5">
      <c r="A9" s="77">
        <f t="shared" ref="A9:A54" si="0">A8+1</f>
        <v>3</v>
      </c>
      <c r="B9" s="71" t="s">
        <v>88</v>
      </c>
      <c r="C9" s="91">
        <f>'Harga Jual INF_021117'!AC49</f>
        <v>0.30000000000000004</v>
      </c>
      <c r="D9" s="79">
        <f>'Harga Jual INF_021117'!AD49</f>
        <v>63857.142857142848</v>
      </c>
      <c r="E9" s="76">
        <f>'Harga Jual INF_021117'!AE49</f>
        <v>0</v>
      </c>
    </row>
    <row r="10" spans="1:5">
      <c r="A10" s="77">
        <f t="shared" si="0"/>
        <v>4</v>
      </c>
      <c r="B10" s="71" t="s">
        <v>104</v>
      </c>
      <c r="C10" s="91">
        <f>'Harga Jual INF_021117'!AC62</f>
        <v>0</v>
      </c>
      <c r="D10" s="78">
        <f>'Harga Jual INF_021117'!AD62</f>
        <v>0</v>
      </c>
      <c r="E10" s="76">
        <f>'Harga Jual INF_021117'!AE62</f>
        <v>148725</v>
      </c>
    </row>
    <row r="11" spans="1:5">
      <c r="A11" s="77">
        <f t="shared" si="0"/>
        <v>5</v>
      </c>
      <c r="B11" s="71" t="s">
        <v>103</v>
      </c>
      <c r="C11" s="91">
        <f>'Harga Jual INF_021117'!AC63</f>
        <v>0</v>
      </c>
      <c r="D11" s="78">
        <f>'Harga Jual INF_021117'!AD63</f>
        <v>0</v>
      </c>
      <c r="E11" s="76">
        <f>'Harga Jual INF_021117'!AE63</f>
        <v>208419.875</v>
      </c>
    </row>
    <row r="12" spans="1:5">
      <c r="A12" s="77">
        <f t="shared" si="0"/>
        <v>6</v>
      </c>
      <c r="B12" s="71" t="s">
        <v>112</v>
      </c>
      <c r="C12" s="91" t="e">
        <f>'Harga Jual INF_021117'!AC79</f>
        <v>#REF!</v>
      </c>
      <c r="D12" s="79" t="e">
        <f>'Harga Jual INF_021117'!AD79</f>
        <v>#REF!</v>
      </c>
      <c r="E12" s="76">
        <f>'Harga Jual INF_021117'!AE79</f>
        <v>186579.25</v>
      </c>
    </row>
    <row r="13" spans="1:5">
      <c r="A13" s="77">
        <f t="shared" si="0"/>
        <v>7</v>
      </c>
      <c r="B13" s="71" t="s">
        <v>119</v>
      </c>
      <c r="C13" s="91">
        <f>'Harga Jual INF_021117'!AC91</f>
        <v>0.30000000000000004</v>
      </c>
      <c r="D13" s="78">
        <f>'Harga Jual INF_021117'!AD91</f>
        <v>108095.23809523811</v>
      </c>
      <c r="E13" s="76">
        <f>'Harga Jual INF_021117'!AE91</f>
        <v>167781.5</v>
      </c>
    </row>
    <row r="14" spans="1:5">
      <c r="A14" s="77">
        <f t="shared" si="0"/>
        <v>8</v>
      </c>
      <c r="B14" s="71" t="s">
        <v>130</v>
      </c>
      <c r="C14" s="91">
        <f>'Harga Jual INF_021117'!AC92</f>
        <v>0.30000000000000004</v>
      </c>
      <c r="D14" s="80">
        <f>'Harga Jual INF_021117'!AD92</f>
        <v>125119.04761904762</v>
      </c>
      <c r="E14" s="76">
        <f>'Harga Jual INF_021117'!AE92</f>
        <v>60391</v>
      </c>
    </row>
    <row r="15" spans="1:5">
      <c r="A15" s="77">
        <f t="shared" si="0"/>
        <v>9</v>
      </c>
      <c r="B15" s="71" t="s">
        <v>160</v>
      </c>
      <c r="C15" s="91">
        <f>'Harga Jual INF_021117'!AC126</f>
        <v>0.3000000000000001</v>
      </c>
      <c r="D15" s="79">
        <f>'Harga Jual INF_021117'!AD126</f>
        <v>41428.571428571435</v>
      </c>
      <c r="E15" s="76">
        <f>'Harga Jual INF_021117'!AE126</f>
        <v>76807</v>
      </c>
    </row>
    <row r="16" spans="1:5">
      <c r="A16" s="77">
        <f t="shared" si="0"/>
        <v>10</v>
      </c>
      <c r="B16" s="71" t="s">
        <v>143</v>
      </c>
      <c r="C16" s="91">
        <f>'Harga Jual INF_021117'!AC127</f>
        <v>0.30000000000000004</v>
      </c>
      <c r="D16" s="79">
        <f>'Harga Jual INF_021117'!AD127</f>
        <v>138174.60317460319</v>
      </c>
      <c r="E16" s="76">
        <f>'Harga Jual INF_021117'!AE127</f>
        <v>137455</v>
      </c>
    </row>
    <row r="17" spans="1:5">
      <c r="A17" s="77">
        <f t="shared" si="0"/>
        <v>11</v>
      </c>
      <c r="B17" s="71" t="s">
        <v>158</v>
      </c>
      <c r="C17" s="91">
        <f>'Harga Jual INF_021117'!AC129</f>
        <v>0.30000000000000004</v>
      </c>
      <c r="D17" s="80">
        <f>'Harga Jual INF_021117'!AD129</f>
        <v>42857.142857142862</v>
      </c>
      <c r="E17" s="76">
        <f>'Harga Jual INF_021117'!AE129</f>
        <v>160797</v>
      </c>
    </row>
    <row r="18" spans="1:5">
      <c r="A18" s="77">
        <f t="shared" si="0"/>
        <v>12</v>
      </c>
      <c r="B18" s="71" t="s">
        <v>137</v>
      </c>
      <c r="C18" s="91">
        <f>'Harga Jual INF_021117'!AC122</f>
        <v>0.3000000000000001</v>
      </c>
      <c r="D18" s="79">
        <f>'Harga Jual INF_021117'!AD122</f>
        <v>118392.85714285716</v>
      </c>
      <c r="E18" s="76">
        <f>'Harga Jual INF_021117'!AE122</f>
        <v>125187.5</v>
      </c>
    </row>
    <row r="19" spans="1:5">
      <c r="A19" s="77">
        <f t="shared" si="0"/>
        <v>13</v>
      </c>
      <c r="B19" s="71" t="s">
        <v>141</v>
      </c>
      <c r="C19" s="91">
        <f>'Harga Jual INF_021117'!AC135</f>
        <v>0.30000000000000004</v>
      </c>
      <c r="D19" s="79">
        <f>'Harga Jual INF_021117'!AD135</f>
        <v>82142.857142857145</v>
      </c>
      <c r="E19" s="76">
        <f>'Harga Jual INF_021117'!AE135</f>
        <v>113944.6</v>
      </c>
    </row>
    <row r="20" spans="1:5">
      <c r="A20" s="77">
        <f t="shared" si="0"/>
        <v>14</v>
      </c>
      <c r="B20" s="71" t="s">
        <v>151</v>
      </c>
      <c r="C20" s="91">
        <f>'Harga Jual INF_021117'!AC139</f>
        <v>0.30000000000000004</v>
      </c>
      <c r="D20" s="79">
        <f>'Harga Jual INF_021117'!AD139</f>
        <v>122738.09523809525</v>
      </c>
      <c r="E20" s="76">
        <f>'Harga Jual INF_021117'!AE139</f>
        <v>133413.20000000001</v>
      </c>
    </row>
    <row r="21" spans="1:5">
      <c r="A21" s="77">
        <f t="shared" si="0"/>
        <v>15</v>
      </c>
      <c r="B21" s="71" t="s">
        <v>178</v>
      </c>
      <c r="C21" s="91">
        <f>'Harga Jual INF_021117'!AC151</f>
        <v>0.30000000000000004</v>
      </c>
      <c r="D21" s="80">
        <f>'Harga Jual INF_021117'!AD151</f>
        <v>124547.61904761907</v>
      </c>
      <c r="E21" s="76">
        <f>'Harga Jual INF_021117'!AE151</f>
        <v>127086.87301587302</v>
      </c>
    </row>
    <row r="22" spans="1:5">
      <c r="A22" s="77">
        <f t="shared" si="0"/>
        <v>16</v>
      </c>
      <c r="B22" s="71" t="s">
        <v>196</v>
      </c>
      <c r="C22" s="91">
        <f>'Harga Jual INF_021117'!AC170</f>
        <v>0.30000000000000004</v>
      </c>
      <c r="D22" s="78">
        <f>'Harga Jual INF_021117'!AD170</f>
        <v>105964.2857142857</v>
      </c>
      <c r="E22" s="76">
        <f>'Harga Jual INF_021117'!AE170</f>
        <v>88034.07619047616</v>
      </c>
    </row>
    <row r="23" spans="1:5">
      <c r="A23" s="77">
        <f t="shared" si="0"/>
        <v>17</v>
      </c>
      <c r="B23" s="71" t="s">
        <v>526</v>
      </c>
      <c r="C23" s="91">
        <f>'Harga Jual INF_021117'!AC169</f>
        <v>0.3</v>
      </c>
      <c r="D23" s="78">
        <f>'Harga Jual INF_021117'!AD169</f>
        <v>110555.55555555556</v>
      </c>
      <c r="E23" s="76">
        <f>'Harga Jual INF_021117'!AE169</f>
        <v>75104.399999999994</v>
      </c>
    </row>
    <row r="24" spans="1:5">
      <c r="A24" s="77">
        <f t="shared" si="0"/>
        <v>18</v>
      </c>
      <c r="B24" s="71" t="s">
        <v>208</v>
      </c>
      <c r="C24" s="91">
        <f>'Harga Jual INF_021117'!AC189</f>
        <v>0.30000000000000004</v>
      </c>
      <c r="D24" s="78">
        <f>'Harga Jual INF_021117'!AD189</f>
        <v>118553.57142857143</v>
      </c>
      <c r="E24" s="76">
        <f>'Harga Jual INF_021117'!AE189</f>
        <v>125977.5</v>
      </c>
    </row>
    <row r="25" spans="1:5">
      <c r="A25" s="77">
        <f t="shared" si="0"/>
        <v>19</v>
      </c>
      <c r="B25" s="71" t="s">
        <v>205</v>
      </c>
      <c r="C25" s="91">
        <f>'Harga Jual INF_021117'!AC197</f>
        <v>0.29999999999999993</v>
      </c>
      <c r="D25" s="78">
        <f>'Harga Jual INF_021117'!AD197</f>
        <v>122732.91925465842</v>
      </c>
      <c r="E25" s="76">
        <f>'Harga Jual INF_021117'!AE197</f>
        <v>109899.75</v>
      </c>
    </row>
    <row r="26" spans="1:5">
      <c r="A26" s="77">
        <f t="shared" si="0"/>
        <v>20</v>
      </c>
      <c r="B26" s="71" t="s">
        <v>229</v>
      </c>
      <c r="C26" s="91" t="e">
        <f>'Harga Jual INF_021117'!AC205</f>
        <v>#REF!</v>
      </c>
      <c r="D26" s="79" t="e">
        <f>'Harga Jual INF_021117'!AD205</f>
        <v>#REF!</v>
      </c>
      <c r="E26" s="76">
        <f>'Harga Jual INF_021117'!AE205</f>
        <v>88352.595238095222</v>
      </c>
    </row>
    <row r="27" spans="1:5">
      <c r="A27" s="77">
        <f t="shared" si="0"/>
        <v>21</v>
      </c>
      <c r="B27" s="71" t="s">
        <v>250</v>
      </c>
      <c r="C27" s="91">
        <f>'Harga Jual INF_021117'!AC218</f>
        <v>0.30000000000000004</v>
      </c>
      <c r="D27" s="79">
        <f>'Harga Jual INF_021117'!AD218</f>
        <v>115714.28571428572</v>
      </c>
      <c r="E27" s="76">
        <f>'Harga Jual INF_021117'!AE218</f>
        <v>116417.09523809524</v>
      </c>
    </row>
    <row r="28" spans="1:5">
      <c r="A28" s="77">
        <f t="shared" si="0"/>
        <v>22</v>
      </c>
      <c r="B28" s="71" t="s">
        <v>234</v>
      </c>
      <c r="C28" s="91" t="e">
        <f>'Harga Jual INF_021117'!AC227</f>
        <v>#REF!</v>
      </c>
      <c r="D28" s="78" t="e">
        <f>'Harga Jual INF_021117'!AD227</f>
        <v>#REF!</v>
      </c>
      <c r="E28" s="76">
        <f>'Harga Jual INF_021117'!AE227</f>
        <v>113984.16666666667</v>
      </c>
    </row>
    <row r="29" spans="1:5">
      <c r="A29" s="77">
        <f t="shared" si="0"/>
        <v>23</v>
      </c>
      <c r="B29" s="71" t="s">
        <v>241</v>
      </c>
      <c r="C29" s="91">
        <f>'Harga Jual INF_021117'!AC238</f>
        <v>0.29999999999999993</v>
      </c>
      <c r="D29" s="79">
        <f>'Harga Jual INF_021117'!AD238</f>
        <v>109642.85714285714</v>
      </c>
      <c r="E29" s="76">
        <f>'Harga Jual INF_021117'!AE238</f>
        <v>134651.16666666666</v>
      </c>
    </row>
    <row r="30" spans="1:5">
      <c r="A30" s="77">
        <f t="shared" si="0"/>
        <v>24</v>
      </c>
      <c r="B30" s="71" t="s">
        <v>263</v>
      </c>
      <c r="C30" s="91">
        <f>'Harga Jual INF_021117'!AC240</f>
        <v>0.30000000000000004</v>
      </c>
      <c r="D30" s="78">
        <f>'Harga Jual INF_021117'!AD240</f>
        <v>134598.21428571429</v>
      </c>
      <c r="E30" s="76">
        <f>'Harga Jual INF_021117'!AE240</f>
        <v>150947.79999999999</v>
      </c>
    </row>
    <row r="31" spans="1:5">
      <c r="A31" s="77">
        <f t="shared" si="0"/>
        <v>25</v>
      </c>
      <c r="B31" s="71" t="s">
        <v>269</v>
      </c>
      <c r="C31" s="91">
        <f>'Harga Jual INF_021117'!AC241</f>
        <v>0.3</v>
      </c>
      <c r="D31" s="78">
        <f>'Harga Jual INF_021117'!AD241</f>
        <v>123642.85714285714</v>
      </c>
      <c r="E31" s="76">
        <f>'Harga Jual INF_021117'!AE241</f>
        <v>141916.66666666666</v>
      </c>
    </row>
    <row r="32" spans="1:5">
      <c r="A32" s="77">
        <f t="shared" si="0"/>
        <v>26</v>
      </c>
      <c r="B32" s="71" t="s">
        <v>272</v>
      </c>
      <c r="C32" s="91">
        <f>'Harga Jual INF_021117'!AC250</f>
        <v>0.30000000000000004</v>
      </c>
      <c r="D32" s="78">
        <f>'Harga Jual INF_021117'!AD250</f>
        <v>107904.76190476189</v>
      </c>
      <c r="E32" s="76">
        <f>'Harga Jual INF_021117'!AE250</f>
        <v>164077</v>
      </c>
    </row>
    <row r="33" spans="1:5">
      <c r="A33" s="77">
        <f t="shared" si="0"/>
        <v>27</v>
      </c>
      <c r="B33" s="71" t="s">
        <v>275</v>
      </c>
      <c r="C33" s="91">
        <f>'Harga Jual INF_021117'!AC251</f>
        <v>0.30000000000000004</v>
      </c>
      <c r="D33" s="79">
        <f>'Harga Jual INF_021117'!AD251</f>
        <v>58642.857142857145</v>
      </c>
      <c r="E33" s="76">
        <f>'Harga Jual INF_021117'!AE251</f>
        <v>178956.30952380964</v>
      </c>
    </row>
    <row r="34" spans="1:5">
      <c r="A34" s="77">
        <f t="shared" si="0"/>
        <v>28</v>
      </c>
      <c r="B34" s="71" t="s">
        <v>282</v>
      </c>
      <c r="C34" s="91">
        <f>'Harga Jual INF_021117'!AC265</f>
        <v>0.3</v>
      </c>
      <c r="D34" s="78">
        <f>'Harga Jual INF_021117'!AD265</f>
        <v>115571.42857142857</v>
      </c>
      <c r="E34" s="76">
        <f>'Harga Jual INF_021117'!AE265</f>
        <v>128758.8</v>
      </c>
    </row>
    <row r="35" spans="1:5">
      <c r="A35" s="77">
        <f t="shared" si="0"/>
        <v>29</v>
      </c>
      <c r="B35" s="71" t="s">
        <v>292</v>
      </c>
      <c r="C35" s="91" t="e">
        <f>'Harga Jual INF_021117'!#REF!</f>
        <v>#REF!</v>
      </c>
      <c r="D35" s="78" t="e">
        <f>'Harga Jual INF_021117'!#REF!</f>
        <v>#REF!</v>
      </c>
      <c r="E35" s="76" t="e">
        <f>'Harga Jual INF_021117'!#REF!</f>
        <v>#REF!</v>
      </c>
    </row>
    <row r="36" spans="1:5">
      <c r="A36" s="77">
        <f t="shared" si="0"/>
        <v>30</v>
      </c>
      <c r="B36" s="71" t="s">
        <v>328</v>
      </c>
      <c r="C36" s="91" t="e">
        <f>'Harga Jual INF_021117'!#REF!</f>
        <v>#REF!</v>
      </c>
      <c r="D36" s="79" t="e">
        <f>'Harga Jual INF_021117'!#REF!</f>
        <v>#REF!</v>
      </c>
      <c r="E36" s="76" t="e">
        <f>'Harga Jual INF_021117'!#REF!</f>
        <v>#REF!</v>
      </c>
    </row>
    <row r="37" spans="1:5">
      <c r="A37" s="77">
        <f t="shared" si="0"/>
        <v>31</v>
      </c>
      <c r="B37" s="71" t="s">
        <v>357</v>
      </c>
      <c r="C37" s="91" t="e">
        <f>'Harga Jual INF_021117'!#REF!</f>
        <v>#REF!</v>
      </c>
      <c r="D37" s="78" t="e">
        <f>'Harga Jual INF_021117'!#REF!</f>
        <v>#REF!</v>
      </c>
      <c r="E37" s="76" t="e">
        <f>'Harga Jual INF_021117'!#REF!</f>
        <v>#REF!</v>
      </c>
    </row>
    <row r="38" spans="1:5">
      <c r="A38" s="77">
        <f t="shared" si="0"/>
        <v>32</v>
      </c>
      <c r="B38" s="71" t="s">
        <v>351</v>
      </c>
      <c r="C38" s="91" t="e">
        <f>'Harga Jual INF_021117'!#REF!</f>
        <v>#REF!</v>
      </c>
      <c r="D38" s="78" t="e">
        <f>'Harga Jual INF_021117'!#REF!</f>
        <v>#REF!</v>
      </c>
      <c r="E38" s="76" t="e">
        <f>'Harga Jual INF_021117'!#REF!</f>
        <v>#REF!</v>
      </c>
    </row>
    <row r="39" spans="1:5">
      <c r="A39" s="77">
        <f t="shared" si="0"/>
        <v>33</v>
      </c>
      <c r="B39" s="71" t="s">
        <v>373</v>
      </c>
      <c r="C39" s="91" t="e">
        <f>'Harga Jual INF_021117'!#REF!</f>
        <v>#REF!</v>
      </c>
      <c r="D39" s="78" t="e">
        <f>'Harga Jual INF_021117'!#REF!</f>
        <v>#REF!</v>
      </c>
      <c r="E39" s="76" t="e">
        <f>'Harga Jual INF_021117'!#REF!</f>
        <v>#REF!</v>
      </c>
    </row>
    <row r="40" spans="1:5">
      <c r="A40" s="77">
        <f t="shared" si="0"/>
        <v>34</v>
      </c>
      <c r="B40" s="71" t="s">
        <v>395</v>
      </c>
      <c r="C40" s="91" t="e">
        <f>'Harga Jual INF_021117'!#REF!</f>
        <v>#REF!</v>
      </c>
      <c r="D40" s="78" t="e">
        <f>'Harga Jual INF_021117'!#REF!</f>
        <v>#REF!</v>
      </c>
      <c r="E40" s="76" t="e">
        <f>'Harga Jual INF_021117'!#REF!</f>
        <v>#REF!</v>
      </c>
    </row>
    <row r="41" spans="1:5">
      <c r="A41" s="77">
        <f t="shared" si="0"/>
        <v>35</v>
      </c>
      <c r="B41" s="71" t="s">
        <v>398</v>
      </c>
      <c r="C41" s="91" t="e">
        <f>'Harga Jual INF_021117'!#REF!</f>
        <v>#REF!</v>
      </c>
      <c r="D41" s="79" t="e">
        <f>'Harga Jual INF_021117'!#REF!</f>
        <v>#REF!</v>
      </c>
      <c r="E41" s="76" t="e">
        <f>'Harga Jual INF_021117'!#REF!</f>
        <v>#REF!</v>
      </c>
    </row>
    <row r="42" spans="1:5">
      <c r="A42" s="77">
        <f t="shared" si="0"/>
        <v>36</v>
      </c>
      <c r="B42" s="71" t="s">
        <v>436</v>
      </c>
      <c r="C42" s="91" t="e">
        <f>'Harga Jual INF_021117'!#REF!</f>
        <v>#REF!</v>
      </c>
      <c r="D42" s="78" t="e">
        <f>'Harga Jual INF_021117'!#REF!</f>
        <v>#REF!</v>
      </c>
      <c r="E42" s="76" t="e">
        <f>'Harga Jual INF_021117'!#REF!</f>
        <v>#REF!</v>
      </c>
    </row>
    <row r="43" spans="1:5">
      <c r="A43" s="77">
        <f t="shared" si="0"/>
        <v>37</v>
      </c>
      <c r="B43" s="71" t="s">
        <v>444</v>
      </c>
      <c r="C43" s="91" t="e">
        <f>'Harga Jual INF_021117'!#REF!</f>
        <v>#REF!</v>
      </c>
      <c r="D43" s="78" t="e">
        <f>'Harga Jual INF_021117'!#REF!</f>
        <v>#REF!</v>
      </c>
      <c r="E43" s="76" t="e">
        <f>'Harga Jual INF_021117'!#REF!</f>
        <v>#REF!</v>
      </c>
    </row>
    <row r="44" spans="1:5">
      <c r="A44" s="77">
        <f t="shared" si="0"/>
        <v>38</v>
      </c>
      <c r="B44" s="71" t="s">
        <v>448</v>
      </c>
      <c r="C44" s="91" t="e">
        <f>'Harga Jual INF_021117'!#REF!</f>
        <v>#REF!</v>
      </c>
      <c r="D44" s="79" t="e">
        <f>'Harga Jual INF_021117'!#REF!</f>
        <v>#REF!</v>
      </c>
      <c r="E44" s="76" t="e">
        <f>'Harga Jual INF_021117'!#REF!</f>
        <v>#REF!</v>
      </c>
    </row>
    <row r="45" spans="1:5">
      <c r="A45" s="77">
        <f t="shared" si="0"/>
        <v>39</v>
      </c>
      <c r="B45" s="71" t="s">
        <v>451</v>
      </c>
      <c r="C45" s="91" t="e">
        <f>'Harga Jual INF_021117'!#REF!</f>
        <v>#REF!</v>
      </c>
      <c r="D45" s="78" t="e">
        <f>'Harga Jual INF_021117'!#REF!</f>
        <v>#REF!</v>
      </c>
      <c r="E45" s="76" t="e">
        <f>'Harga Jual INF_021117'!#REF!</f>
        <v>#REF!</v>
      </c>
    </row>
    <row r="46" spans="1:5">
      <c r="A46" s="77">
        <f t="shared" si="0"/>
        <v>40</v>
      </c>
      <c r="B46" s="71" t="s">
        <v>477</v>
      </c>
      <c r="C46" s="91" t="e">
        <f>'Harga Jual INF_021117'!#REF!</f>
        <v>#REF!</v>
      </c>
      <c r="D46" s="79" t="e">
        <f>'Harga Jual INF_021117'!#REF!</f>
        <v>#REF!</v>
      </c>
      <c r="E46" s="76" t="e">
        <f>'Harga Jual INF_021117'!#REF!</f>
        <v>#REF!</v>
      </c>
    </row>
    <row r="47" spans="1:5">
      <c r="A47" s="77">
        <f t="shared" si="0"/>
        <v>41</v>
      </c>
      <c r="B47" s="71" t="s">
        <v>465</v>
      </c>
      <c r="C47" s="91" t="e">
        <f>'Harga Jual INF_021117'!#REF!</f>
        <v>#REF!</v>
      </c>
      <c r="D47" s="79" t="e">
        <f>'Harga Jual INF_021117'!#REF!</f>
        <v>#REF!</v>
      </c>
      <c r="E47" s="76" t="e">
        <f>'Harga Jual INF_021117'!#REF!</f>
        <v>#REF!</v>
      </c>
    </row>
    <row r="48" spans="1:5">
      <c r="A48" s="77">
        <f t="shared" si="0"/>
        <v>42</v>
      </c>
      <c r="B48" s="71" t="s">
        <v>479</v>
      </c>
      <c r="C48" s="91" t="e">
        <f>'Harga Jual INF_021117'!#REF!</f>
        <v>#REF!</v>
      </c>
      <c r="D48" s="79" t="e">
        <f>'Harga Jual INF_021117'!#REF!</f>
        <v>#REF!</v>
      </c>
      <c r="E48" s="76" t="e">
        <f>'Harga Jual INF_021117'!#REF!</f>
        <v>#REF!</v>
      </c>
    </row>
    <row r="49" spans="1:5">
      <c r="A49" s="77">
        <f t="shared" si="0"/>
        <v>43</v>
      </c>
      <c r="B49" s="71" t="s">
        <v>466</v>
      </c>
      <c r="C49" s="91" t="e">
        <f>'Harga Jual INF_021117'!#REF!</f>
        <v>#REF!</v>
      </c>
      <c r="D49" s="79" t="e">
        <f>'Harga Jual INF_021117'!#REF!</f>
        <v>#REF!</v>
      </c>
      <c r="E49" s="76" t="e">
        <f>'Harga Jual INF_021117'!#REF!</f>
        <v>#REF!</v>
      </c>
    </row>
    <row r="50" spans="1:5">
      <c r="A50" s="77">
        <f t="shared" si="0"/>
        <v>44</v>
      </c>
      <c r="B50" s="71" t="s">
        <v>489</v>
      </c>
      <c r="C50" s="91" t="e">
        <f>'Harga Jual INF_021117'!#REF!</f>
        <v>#REF!</v>
      </c>
      <c r="D50" s="80" t="e">
        <f>'Harga Jual INF_021117'!#REF!</f>
        <v>#REF!</v>
      </c>
      <c r="E50" s="76" t="e">
        <f>'Harga Jual INF_021117'!#REF!</f>
        <v>#REF!</v>
      </c>
    </row>
    <row r="51" spans="1:5">
      <c r="A51" s="77">
        <f t="shared" si="0"/>
        <v>45</v>
      </c>
      <c r="B51" s="71" t="s">
        <v>491</v>
      </c>
      <c r="C51" s="91" t="e">
        <f>'Harga Jual INF_021117'!#REF!</f>
        <v>#REF!</v>
      </c>
      <c r="D51" s="79" t="e">
        <f>'Harga Jual INF_021117'!#REF!</f>
        <v>#REF!</v>
      </c>
      <c r="E51" s="76" t="e">
        <f>'Harga Jual INF_021117'!#REF!</f>
        <v>#REF!</v>
      </c>
    </row>
    <row r="52" spans="1:5">
      <c r="A52" s="77">
        <f t="shared" si="0"/>
        <v>46</v>
      </c>
      <c r="B52" s="71" t="s">
        <v>488</v>
      </c>
      <c r="C52" s="91" t="e">
        <f>'Harga Jual INF_021117'!#REF!</f>
        <v>#REF!</v>
      </c>
      <c r="D52" s="79" t="e">
        <f>'Harga Jual INF_021117'!#REF!</f>
        <v>#REF!</v>
      </c>
      <c r="E52" s="76" t="e">
        <f>'Harga Jual INF_021117'!#REF!</f>
        <v>#REF!</v>
      </c>
    </row>
    <row r="53" spans="1:5">
      <c r="A53" s="77">
        <f t="shared" si="0"/>
        <v>47</v>
      </c>
      <c r="B53" s="71" t="s">
        <v>500</v>
      </c>
      <c r="C53" s="91" t="e">
        <f>'Harga Jual INF_021117'!#REF!</f>
        <v>#REF!</v>
      </c>
      <c r="D53" s="79" t="e">
        <f>'Harga Jual INF_021117'!#REF!</f>
        <v>#REF!</v>
      </c>
      <c r="E53" s="76" t="e">
        <f>'Harga Jual INF_021117'!#REF!</f>
        <v>#REF!</v>
      </c>
    </row>
    <row r="54" spans="1:5">
      <c r="A54" s="77">
        <f t="shared" si="0"/>
        <v>48</v>
      </c>
      <c r="B54" s="71" t="s">
        <v>499</v>
      </c>
      <c r="C54" s="91" t="e">
        <f>'Harga Jual INF_021117'!#REF!</f>
        <v>#REF!</v>
      </c>
      <c r="D54" s="79" t="e">
        <f>'Harga Jual INF_021117'!#REF!</f>
        <v>#REF!</v>
      </c>
      <c r="E54" s="76" t="e">
        <f>'Harga Jual INF_021117'!#REF!</f>
        <v>#REF!</v>
      </c>
    </row>
    <row r="55" spans="1:5">
      <c r="A55" s="88"/>
      <c r="B55" s="89"/>
      <c r="C55" s="92" t="e">
        <f>AVERAGE(C7:C54)</f>
        <v>#REF!</v>
      </c>
      <c r="D55" s="90"/>
      <c r="E55" s="90"/>
    </row>
    <row r="57" spans="1:5">
      <c r="A57" s="81"/>
      <c r="B57" s="81"/>
      <c r="C57" s="81" t="s">
        <v>538</v>
      </c>
      <c r="D57" s="76">
        <v>22</v>
      </c>
    </row>
    <row r="58" spans="1:5">
      <c r="A58" s="82"/>
      <c r="B58" s="82"/>
      <c r="C58" s="82" t="s">
        <v>537</v>
      </c>
      <c r="D58" s="76">
        <v>21</v>
      </c>
    </row>
    <row r="59" spans="1:5">
      <c r="A59" s="83"/>
      <c r="B59" s="83"/>
      <c r="C59" s="83" t="s">
        <v>541</v>
      </c>
      <c r="D59" s="76">
        <v>5</v>
      </c>
    </row>
    <row r="60" spans="1:5">
      <c r="D60" s="76">
        <f>SUM(D57:D59)</f>
        <v>48</v>
      </c>
    </row>
  </sheetData>
  <mergeCells count="4">
    <mergeCell ref="B5:B6"/>
    <mergeCell ref="C5:D5"/>
    <mergeCell ref="E5:E6"/>
    <mergeCell ref="A5:A6"/>
  </mergeCells>
  <printOptions horizontalCentered="1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00B0F0"/>
  </sheetPr>
  <dimension ref="A2:BX102"/>
  <sheetViews>
    <sheetView zoomScale="85" zoomScaleNormal="85" workbookViewId="0">
      <pane xSplit="9" ySplit="4" topLeftCell="J5" activePane="bottomRight" state="frozen"/>
      <selection pane="topRight" activeCell="H1" sqref="H1"/>
      <selection pane="bottomLeft" activeCell="A5" sqref="A5"/>
      <selection pane="bottomRight" activeCell="F3" sqref="F3"/>
    </sheetView>
  </sheetViews>
  <sheetFormatPr defaultRowHeight="14.4"/>
  <cols>
    <col min="3" max="3" width="8.5546875" bestFit="1" customWidth="1"/>
    <col min="4" max="4" width="8.5546875" customWidth="1"/>
    <col min="5" max="6" width="8.5546875" style="234" customWidth="1"/>
    <col min="7" max="8" width="8.5546875" customWidth="1"/>
    <col min="9" max="9" width="36.109375" customWidth="1"/>
    <col min="10" max="10" width="24.88671875" customWidth="1"/>
    <col min="11" max="11" width="15.88671875" customWidth="1"/>
    <col min="12" max="12" width="14.88671875" style="96" customWidth="1"/>
    <col min="13" max="13" width="11.109375" style="67" customWidth="1"/>
    <col min="14" max="14" width="11.109375" style="68" customWidth="1"/>
    <col min="15" max="15" width="10.88671875" style="66" customWidth="1"/>
    <col min="16" max="16" width="12.6640625" style="68" customWidth="1"/>
    <col min="17" max="17" width="17.88671875" style="225" customWidth="1"/>
    <col min="18" max="18" width="65.44140625" customWidth="1"/>
    <col min="20" max="20" width="12.33203125" bestFit="1" customWidth="1"/>
    <col min="21" max="21" width="12.5546875" customWidth="1"/>
    <col min="22" max="22" width="14.44140625" customWidth="1"/>
    <col min="23" max="23" width="11.33203125" customWidth="1"/>
    <col min="24" max="24" width="11.6640625" customWidth="1"/>
    <col min="25" max="25" width="8.6640625" style="165" customWidth="1"/>
    <col min="26" max="26" width="9.109375" style="143" customWidth="1"/>
    <col min="27" max="28" width="9.109375" customWidth="1"/>
    <col min="29" max="29" width="17" customWidth="1"/>
    <col min="30" max="30" width="8" style="151" bestFit="1" customWidth="1"/>
    <col min="31" max="32" width="9" style="143" bestFit="1" customWidth="1"/>
  </cols>
  <sheetData>
    <row r="2" spans="1:76" ht="25.8">
      <c r="C2" s="95" t="s">
        <v>606</v>
      </c>
      <c r="Y2" s="162">
        <f>AVERAGE(Y5:Y97)</f>
        <v>0.34022746883355637</v>
      </c>
      <c r="AA2" s="277">
        <v>3617</v>
      </c>
    </row>
    <row r="3" spans="1:76" ht="15" customHeight="1">
      <c r="F3" s="234">
        <f>SUM(F5:F97)</f>
        <v>0</v>
      </c>
      <c r="S3" s="323" t="s">
        <v>1</v>
      </c>
      <c r="T3" s="323"/>
      <c r="U3" s="323"/>
      <c r="V3" s="323"/>
      <c r="W3" s="323"/>
      <c r="X3" s="323"/>
      <c r="Y3" s="323"/>
      <c r="Z3" s="168"/>
      <c r="AA3" s="6"/>
      <c r="AB3" s="6"/>
      <c r="AC3" s="325" t="s">
        <v>2</v>
      </c>
      <c r="AD3" s="333"/>
      <c r="AE3" s="327"/>
      <c r="AF3" s="275" t="s">
        <v>3</v>
      </c>
      <c r="AG3" s="328" t="s">
        <v>4</v>
      </c>
      <c r="AH3" s="328"/>
      <c r="AI3" s="328"/>
      <c r="AJ3" s="322" t="s">
        <v>5</v>
      </c>
      <c r="AK3" s="322"/>
      <c r="AL3" s="322"/>
      <c r="AM3" s="7">
        <v>-7.8409228767355718E-2</v>
      </c>
      <c r="AN3" s="322" t="s">
        <v>6</v>
      </c>
      <c r="AO3" s="322"/>
      <c r="AP3" s="322"/>
      <c r="AQ3" s="7">
        <v>-2.2226138722437741E-2</v>
      </c>
      <c r="AR3" s="322" t="s">
        <v>7</v>
      </c>
      <c r="AS3" s="322"/>
      <c r="AT3" s="322"/>
      <c r="AU3" s="7">
        <v>4.7123899688854491E-2</v>
      </c>
      <c r="AV3" s="322" t="s">
        <v>517</v>
      </c>
      <c r="AW3" s="322"/>
      <c r="AX3" s="322"/>
      <c r="AY3" s="7">
        <v>7.6264843585846023E-2</v>
      </c>
      <c r="AZ3" s="322" t="s">
        <v>8</v>
      </c>
      <c r="BA3" s="322"/>
      <c r="BB3" s="322"/>
      <c r="BC3" s="7" t="e">
        <v>#DIV/0!</v>
      </c>
      <c r="BD3" s="322" t="s">
        <v>9</v>
      </c>
      <c r="BE3" s="322"/>
      <c r="BF3" s="322"/>
      <c r="BG3" s="7">
        <v>-8.0811317472593736E-2</v>
      </c>
      <c r="BH3" s="322" t="s">
        <v>11</v>
      </c>
      <c r="BI3" s="322"/>
      <c r="BJ3" s="322"/>
      <c r="BK3" s="7" t="e">
        <v>#VALUE!</v>
      </c>
      <c r="BL3" s="322" t="s">
        <v>12</v>
      </c>
      <c r="BM3" s="322"/>
      <c r="BN3" s="322"/>
      <c r="BO3" s="7" t="e">
        <v>#DIV/0!</v>
      </c>
      <c r="BP3" s="322" t="s">
        <v>13</v>
      </c>
      <c r="BQ3" s="322"/>
      <c r="BR3" s="322"/>
      <c r="BS3" s="7" t="e">
        <v>#DIV/0!</v>
      </c>
      <c r="BT3" s="322" t="s">
        <v>14</v>
      </c>
      <c r="BU3" s="322"/>
      <c r="BV3" s="322"/>
      <c r="BW3" s="7" t="e">
        <v>#DIV/0!</v>
      </c>
      <c r="BX3" s="8"/>
    </row>
    <row r="4" spans="1:76" s="69" customFormat="1">
      <c r="B4" s="97" t="s">
        <v>15</v>
      </c>
      <c r="C4" s="97" t="s">
        <v>16</v>
      </c>
      <c r="D4" s="97" t="s">
        <v>17</v>
      </c>
      <c r="E4" s="97" t="s">
        <v>609</v>
      </c>
      <c r="F4" s="97" t="s">
        <v>23</v>
      </c>
      <c r="G4" s="98" t="s">
        <v>19</v>
      </c>
      <c r="H4" s="97" t="s">
        <v>18</v>
      </c>
      <c r="I4" s="97" t="s">
        <v>542</v>
      </c>
      <c r="J4" s="97" t="s">
        <v>21</v>
      </c>
      <c r="K4" s="128" t="s">
        <v>22</v>
      </c>
      <c r="L4" s="142" t="s">
        <v>23</v>
      </c>
      <c r="M4" s="97" t="s">
        <v>24</v>
      </c>
      <c r="N4" s="97" t="s">
        <v>25</v>
      </c>
      <c r="O4" s="97" t="s">
        <v>26</v>
      </c>
      <c r="P4" s="217" t="s">
        <v>27</v>
      </c>
      <c r="Q4" s="225" t="s">
        <v>832</v>
      </c>
      <c r="R4" s="98" t="s">
        <v>26</v>
      </c>
      <c r="S4" s="10" t="s">
        <v>28</v>
      </c>
      <c r="T4" s="10" t="s">
        <v>29</v>
      </c>
      <c r="U4" s="10" t="s">
        <v>30</v>
      </c>
      <c r="V4" s="11" t="s">
        <v>31</v>
      </c>
      <c r="W4" s="11" t="s">
        <v>32</v>
      </c>
      <c r="X4" s="11" t="s">
        <v>33</v>
      </c>
      <c r="Y4" s="163" t="s">
        <v>34</v>
      </c>
      <c r="Z4" s="257" t="s">
        <v>35</v>
      </c>
      <c r="AA4" s="12" t="s">
        <v>36</v>
      </c>
      <c r="AB4" s="12"/>
      <c r="AC4" s="13" t="s">
        <v>37</v>
      </c>
      <c r="AD4" s="152" t="s">
        <v>38</v>
      </c>
      <c r="AE4" s="161" t="s">
        <v>39</v>
      </c>
      <c r="AF4" s="276" t="s">
        <v>865</v>
      </c>
      <c r="AG4" s="15" t="s">
        <v>513</v>
      </c>
      <c r="AH4" s="15" t="s">
        <v>750</v>
      </c>
      <c r="AI4" s="16" t="s">
        <v>40</v>
      </c>
      <c r="AJ4" s="58" t="s">
        <v>514</v>
      </c>
      <c r="AK4" s="17" t="s">
        <v>41</v>
      </c>
      <c r="AL4" s="17" t="s">
        <v>42</v>
      </c>
      <c r="AM4" s="18" t="s">
        <v>40</v>
      </c>
      <c r="AN4" s="54" t="s">
        <v>515</v>
      </c>
      <c r="AO4" s="19" t="s">
        <v>43</v>
      </c>
      <c r="AP4" s="19" t="s">
        <v>44</v>
      </c>
      <c r="AQ4" s="20" t="s">
        <v>40</v>
      </c>
      <c r="AR4" s="58" t="s">
        <v>516</v>
      </c>
      <c r="AS4" s="17" t="s">
        <v>45</v>
      </c>
      <c r="AT4" s="17" t="s">
        <v>46</v>
      </c>
      <c r="AU4" s="21" t="s">
        <v>40</v>
      </c>
      <c r="AV4" s="54" t="s">
        <v>518</v>
      </c>
      <c r="AW4" s="19" t="s">
        <v>47</v>
      </c>
      <c r="AX4" s="19" t="s">
        <v>48</v>
      </c>
      <c r="AY4" s="20" t="s">
        <v>40</v>
      </c>
      <c r="AZ4" s="58" t="s">
        <v>519</v>
      </c>
      <c r="BA4" s="17" t="s">
        <v>49</v>
      </c>
      <c r="BB4" s="17" t="s">
        <v>50</v>
      </c>
      <c r="BC4" s="18" t="s">
        <v>40</v>
      </c>
      <c r="BD4" s="54" t="s">
        <v>520</v>
      </c>
      <c r="BE4" s="19" t="s">
        <v>51</v>
      </c>
      <c r="BF4" s="19" t="s">
        <v>52</v>
      </c>
      <c r="BG4" s="20" t="s">
        <v>40</v>
      </c>
      <c r="BH4" s="54" t="s">
        <v>522</v>
      </c>
      <c r="BI4" s="19" t="s">
        <v>55</v>
      </c>
      <c r="BJ4" s="19" t="s">
        <v>56</v>
      </c>
      <c r="BK4" s="20" t="s">
        <v>40</v>
      </c>
      <c r="BL4" s="58" t="s">
        <v>523</v>
      </c>
      <c r="BM4" s="17" t="s">
        <v>57</v>
      </c>
      <c r="BN4" s="17" t="s">
        <v>58</v>
      </c>
      <c r="BO4" s="18" t="s">
        <v>40</v>
      </c>
      <c r="BP4" s="54" t="s">
        <v>524</v>
      </c>
      <c r="BQ4" s="19" t="s">
        <v>59</v>
      </c>
      <c r="BR4" s="19" t="s">
        <v>60</v>
      </c>
      <c r="BS4" s="20" t="s">
        <v>40</v>
      </c>
      <c r="BT4" s="58" t="s">
        <v>525</v>
      </c>
      <c r="BU4" s="17" t="s">
        <v>61</v>
      </c>
      <c r="BV4" s="17" t="s">
        <v>62</v>
      </c>
      <c r="BW4" s="18" t="s">
        <v>40</v>
      </c>
      <c r="BX4" s="1" t="s">
        <v>63</v>
      </c>
    </row>
    <row r="5" spans="1:76" s="100" customFormat="1">
      <c r="B5" s="100">
        <v>424</v>
      </c>
      <c r="C5" s="100" t="s">
        <v>775</v>
      </c>
      <c r="D5" s="101" t="str">
        <f>REPLACE(C5,1,3, )</f>
        <v xml:space="preserve"> 459</v>
      </c>
      <c r="E5" s="291" t="s">
        <v>775</v>
      </c>
      <c r="F5" s="101">
        <f>IF(E5=C5,0,1)</f>
        <v>0</v>
      </c>
      <c r="G5" s="100" t="s">
        <v>65</v>
      </c>
      <c r="H5" s="101" t="str">
        <f>REPLACE(C5,5,3, )</f>
        <v xml:space="preserve">LEV </v>
      </c>
      <c r="I5" s="100" t="s">
        <v>868</v>
      </c>
      <c r="J5" s="100" t="s">
        <v>755</v>
      </c>
      <c r="K5" s="218">
        <v>82500</v>
      </c>
      <c r="L5" s="135">
        <f t="shared" ref="L5:L10" si="0">K5-N5</f>
        <v>7200</v>
      </c>
      <c r="M5" s="101" t="s">
        <v>69</v>
      </c>
      <c r="N5" s="103">
        <f t="shared" ref="N5:N11" si="1">K5-O5</f>
        <v>75300</v>
      </c>
      <c r="O5" s="104">
        <f>2000+3450+800+300+650</f>
        <v>7200</v>
      </c>
      <c r="P5" s="220">
        <f t="shared" ref="P5:P34" si="2">N5+O5</f>
        <v>82500</v>
      </c>
      <c r="Q5" s="226"/>
      <c r="R5" s="100" t="s">
        <v>293</v>
      </c>
      <c r="S5" s="22">
        <v>3000</v>
      </c>
      <c r="T5" s="22">
        <f t="shared" ref="T5:T36" si="3">S5+P5</f>
        <v>85500</v>
      </c>
      <c r="U5" s="22">
        <f t="shared" ref="U5" si="4">T5/0.7</f>
        <v>122142.85714285714</v>
      </c>
      <c r="V5" s="23">
        <f t="shared" ref="V5" si="5">U5/0.875</f>
        <v>139591.83673469388</v>
      </c>
      <c r="W5" s="24">
        <f t="shared" ref="W5" si="6">(V5-U5)/V5</f>
        <v>0.12499999999999997</v>
      </c>
      <c r="X5" s="23">
        <f>(ROUNDUP((V5/100),0))*100</f>
        <v>139600</v>
      </c>
      <c r="Y5" s="164">
        <f t="shared" ref="Y5:Y36" si="7">(U5-P5)/U5</f>
        <v>0.32456140350877194</v>
      </c>
      <c r="Z5" s="144"/>
      <c r="AD5" s="153"/>
      <c r="AE5" s="144"/>
      <c r="AF5" s="144"/>
    </row>
    <row r="6" spans="1:76" s="100" customFormat="1">
      <c r="B6" s="100">
        <v>425</v>
      </c>
      <c r="C6" s="100" t="s">
        <v>791</v>
      </c>
      <c r="D6" s="101" t="str">
        <f t="shared" ref="D6:D69" si="8">REPLACE(C6,1,3, )</f>
        <v xml:space="preserve"> 713</v>
      </c>
      <c r="E6" s="291" t="s">
        <v>791</v>
      </c>
      <c r="F6" s="101">
        <f t="shared" ref="F6:F69" si="9">IF(E6=C6,0,1)</f>
        <v>0</v>
      </c>
      <c r="G6" s="100" t="s">
        <v>68</v>
      </c>
      <c r="H6" s="101" t="str">
        <f t="shared" ref="H6:H69" si="10">REPLACE(C6,5,3, )</f>
        <v xml:space="preserve">LMI </v>
      </c>
      <c r="I6" s="100" t="s">
        <v>868</v>
      </c>
      <c r="J6" s="100" t="s">
        <v>759</v>
      </c>
      <c r="K6" s="218">
        <v>75000</v>
      </c>
      <c r="L6" s="135">
        <f t="shared" si="0"/>
        <v>7200</v>
      </c>
      <c r="M6" s="101" t="s">
        <v>69</v>
      </c>
      <c r="N6" s="103">
        <f t="shared" si="1"/>
        <v>67800</v>
      </c>
      <c r="O6" s="104">
        <f>2000+3450+800+300+650</f>
        <v>7200</v>
      </c>
      <c r="P6" s="209">
        <f t="shared" si="2"/>
        <v>75000</v>
      </c>
      <c r="Q6" s="227"/>
      <c r="R6" s="100" t="s">
        <v>293</v>
      </c>
      <c r="S6" s="22">
        <v>2000</v>
      </c>
      <c r="T6" s="22">
        <f t="shared" si="3"/>
        <v>77000</v>
      </c>
      <c r="U6" s="22">
        <f t="shared" ref="U6:U53" si="11">T6/0.7</f>
        <v>110000</v>
      </c>
      <c r="V6" s="23">
        <f t="shared" ref="V6:V53" si="12">U6/0.875</f>
        <v>125714.28571428571</v>
      </c>
      <c r="W6" s="24">
        <f t="shared" ref="W6:W53" si="13">(V6-U6)/V6</f>
        <v>0.12499999999999997</v>
      </c>
      <c r="X6" s="23">
        <f t="shared" ref="X6:X69" si="14">(ROUNDUP((V6/100),0))*100</f>
        <v>125800</v>
      </c>
      <c r="Y6" s="164">
        <f t="shared" si="7"/>
        <v>0.31818181818181818</v>
      </c>
      <c r="Z6" s="244">
        <v>105714</v>
      </c>
      <c r="AA6" s="256">
        <f>U6-Z6</f>
        <v>4286</v>
      </c>
      <c r="AB6" s="189">
        <f>AA6/Z6</f>
        <v>4.0543352819872487E-2</v>
      </c>
      <c r="AD6" s="153"/>
      <c r="AE6" s="144"/>
      <c r="AF6" s="144"/>
    </row>
    <row r="7" spans="1:76" s="100" customFormat="1">
      <c r="B7" s="100">
        <v>426</v>
      </c>
      <c r="C7" s="100" t="s">
        <v>544</v>
      </c>
      <c r="D7" s="101" t="str">
        <f t="shared" si="8"/>
        <v xml:space="preserve"> 554</v>
      </c>
      <c r="E7" s="291" t="s">
        <v>544</v>
      </c>
      <c r="F7" s="101">
        <f t="shared" si="9"/>
        <v>0</v>
      </c>
      <c r="G7" s="100" t="s">
        <v>65</v>
      </c>
      <c r="H7" s="101" t="str">
        <f t="shared" si="10"/>
        <v xml:space="preserve">LEV </v>
      </c>
      <c r="I7" s="100" t="s">
        <v>868</v>
      </c>
      <c r="J7" s="100" t="s">
        <v>755</v>
      </c>
      <c r="K7" s="218">
        <v>80000</v>
      </c>
      <c r="L7" s="135">
        <f t="shared" si="0"/>
        <v>7550</v>
      </c>
      <c r="M7" s="101" t="s">
        <v>69</v>
      </c>
      <c r="N7" s="103">
        <f t="shared" si="1"/>
        <v>72450</v>
      </c>
      <c r="O7" s="104">
        <f t="shared" ref="O7:O14" si="15">2000+3450+800+300+1000</f>
        <v>7550</v>
      </c>
      <c r="P7" s="209">
        <f t="shared" si="2"/>
        <v>80000</v>
      </c>
      <c r="Q7" s="227"/>
      <c r="R7" s="100" t="s">
        <v>296</v>
      </c>
      <c r="S7" s="22">
        <v>3000</v>
      </c>
      <c r="T7" s="22">
        <f t="shared" si="3"/>
        <v>83000</v>
      </c>
      <c r="U7" s="22">
        <f t="shared" si="11"/>
        <v>118571.42857142858</v>
      </c>
      <c r="V7" s="23">
        <f t="shared" si="12"/>
        <v>135510.20408163266</v>
      </c>
      <c r="W7" s="24">
        <f t="shared" si="13"/>
        <v>0.125</v>
      </c>
      <c r="X7" s="23">
        <f t="shared" si="14"/>
        <v>135600</v>
      </c>
      <c r="Y7" s="164">
        <f t="shared" si="7"/>
        <v>0.32530120481927716</v>
      </c>
      <c r="Z7" s="144"/>
      <c r="AD7" s="153"/>
      <c r="AE7" s="144"/>
      <c r="AF7" s="144"/>
    </row>
    <row r="8" spans="1:76" s="100" customFormat="1">
      <c r="B8" s="100">
        <v>427</v>
      </c>
      <c r="C8" s="100" t="s">
        <v>792</v>
      </c>
      <c r="D8" s="101" t="str">
        <f t="shared" si="8"/>
        <v xml:space="preserve"> 278</v>
      </c>
      <c r="E8" s="291" t="s">
        <v>792</v>
      </c>
      <c r="F8" s="101">
        <f t="shared" si="9"/>
        <v>0</v>
      </c>
      <c r="G8" s="100" t="s">
        <v>68</v>
      </c>
      <c r="H8" s="101" t="str">
        <f t="shared" si="10"/>
        <v xml:space="preserve">LNS </v>
      </c>
      <c r="I8" s="100" t="s">
        <v>868</v>
      </c>
      <c r="J8" s="100" t="s">
        <v>765</v>
      </c>
      <c r="K8" s="218">
        <v>86000</v>
      </c>
      <c r="L8" s="135">
        <f t="shared" si="0"/>
        <v>7550</v>
      </c>
      <c r="M8" s="101" t="s">
        <v>69</v>
      </c>
      <c r="N8" s="103">
        <f t="shared" si="1"/>
        <v>78450</v>
      </c>
      <c r="O8" s="104">
        <f t="shared" si="15"/>
        <v>7550</v>
      </c>
      <c r="P8" s="216">
        <f t="shared" si="2"/>
        <v>86000</v>
      </c>
      <c r="Q8" s="227"/>
      <c r="R8" s="100" t="s">
        <v>296</v>
      </c>
      <c r="S8" s="22">
        <v>2000</v>
      </c>
      <c r="T8" s="22">
        <f t="shared" si="3"/>
        <v>88000</v>
      </c>
      <c r="U8" s="22">
        <f t="shared" si="11"/>
        <v>125714.28571428572</v>
      </c>
      <c r="V8" s="23">
        <f t="shared" si="12"/>
        <v>143673.46938775512</v>
      </c>
      <c r="W8" s="24">
        <f t="shared" si="13"/>
        <v>0.12500000000000003</v>
      </c>
      <c r="X8" s="23">
        <f t="shared" si="14"/>
        <v>143700</v>
      </c>
      <c r="Y8" s="164">
        <f t="shared" si="7"/>
        <v>0.31590909090909097</v>
      </c>
      <c r="Z8" s="244">
        <v>121429</v>
      </c>
      <c r="AA8" s="256">
        <f>U8-Z8</f>
        <v>4285.2857142857247</v>
      </c>
      <c r="AB8" s="189">
        <f>AA8/Z8</f>
        <v>3.5290463680716505E-2</v>
      </c>
      <c r="AD8" s="153"/>
      <c r="AE8" s="144"/>
      <c r="AF8" s="144"/>
    </row>
    <row r="9" spans="1:76" s="100" customFormat="1">
      <c r="B9" s="100">
        <v>428</v>
      </c>
      <c r="C9" s="100" t="s">
        <v>545</v>
      </c>
      <c r="D9" s="101" t="str">
        <f t="shared" si="8"/>
        <v xml:space="preserve"> 785</v>
      </c>
      <c r="E9" s="291" t="s">
        <v>545</v>
      </c>
      <c r="F9" s="101">
        <f t="shared" si="9"/>
        <v>0</v>
      </c>
      <c r="G9" s="100" t="s">
        <v>65</v>
      </c>
      <c r="H9" s="101" t="str">
        <f t="shared" si="10"/>
        <v xml:space="preserve">LOY </v>
      </c>
      <c r="I9" s="100" t="s">
        <v>868</v>
      </c>
      <c r="J9" s="100" t="s">
        <v>764</v>
      </c>
      <c r="K9" s="218">
        <v>70000</v>
      </c>
      <c r="L9" s="135">
        <f t="shared" si="0"/>
        <v>7550</v>
      </c>
      <c r="M9" s="101" t="s">
        <v>69</v>
      </c>
      <c r="N9" s="103">
        <f t="shared" si="1"/>
        <v>62450</v>
      </c>
      <c r="O9" s="104">
        <f t="shared" si="15"/>
        <v>7550</v>
      </c>
      <c r="P9" s="220">
        <f t="shared" si="2"/>
        <v>70000</v>
      </c>
      <c r="Q9" s="226"/>
      <c r="R9" s="100" t="s">
        <v>296</v>
      </c>
      <c r="S9" s="22">
        <v>3000</v>
      </c>
      <c r="T9" s="22">
        <f t="shared" si="3"/>
        <v>73000</v>
      </c>
      <c r="U9" s="22">
        <f t="shared" si="11"/>
        <v>104285.71428571429</v>
      </c>
      <c r="V9" s="23">
        <f t="shared" si="12"/>
        <v>119183.67346938777</v>
      </c>
      <c r="W9" s="24">
        <f t="shared" si="13"/>
        <v>0.12500000000000006</v>
      </c>
      <c r="X9" s="23">
        <f t="shared" si="14"/>
        <v>119200</v>
      </c>
      <c r="Y9" s="164">
        <f t="shared" si="7"/>
        <v>0.32876712328767127</v>
      </c>
      <c r="Z9" s="144"/>
      <c r="AD9" s="153"/>
      <c r="AE9" s="144"/>
      <c r="AF9" s="144"/>
    </row>
    <row r="10" spans="1:76" s="100" customFormat="1">
      <c r="A10" s="100" t="s">
        <v>841</v>
      </c>
      <c r="B10" s="100">
        <v>429</v>
      </c>
      <c r="C10" s="64" t="s">
        <v>846</v>
      </c>
      <c r="D10" s="238" t="str">
        <f t="shared" si="8"/>
        <v xml:space="preserve"> 983</v>
      </c>
      <c r="E10" s="291" t="s">
        <v>846</v>
      </c>
      <c r="F10" s="101">
        <f t="shared" si="9"/>
        <v>0</v>
      </c>
      <c r="G10" s="64" t="s">
        <v>65</v>
      </c>
      <c r="H10" s="238" t="str">
        <f t="shared" si="10"/>
        <v xml:space="preserve">LDT </v>
      </c>
      <c r="I10" s="100" t="s">
        <v>868</v>
      </c>
      <c r="J10" s="100" t="s">
        <v>557</v>
      </c>
      <c r="K10" s="239">
        <v>60000</v>
      </c>
      <c r="L10" s="135">
        <f t="shared" si="0"/>
        <v>7550</v>
      </c>
      <c r="M10" s="101" t="s">
        <v>69</v>
      </c>
      <c r="N10" s="103">
        <f t="shared" si="1"/>
        <v>52450</v>
      </c>
      <c r="O10" s="104">
        <f t="shared" si="15"/>
        <v>7550</v>
      </c>
      <c r="P10" s="240">
        <f t="shared" ref="P10" si="16">N10+O10</f>
        <v>60000</v>
      </c>
      <c r="Q10" s="226"/>
      <c r="R10" s="100" t="s">
        <v>296</v>
      </c>
      <c r="S10" s="22">
        <v>3000</v>
      </c>
      <c r="T10" s="22">
        <f t="shared" si="3"/>
        <v>63000</v>
      </c>
      <c r="U10" s="22">
        <f t="shared" si="11"/>
        <v>90000</v>
      </c>
      <c r="V10" s="23">
        <f t="shared" si="12"/>
        <v>102857.14285714286</v>
      </c>
      <c r="W10" s="24">
        <f t="shared" si="13"/>
        <v>0.12499999999999999</v>
      </c>
      <c r="X10" s="23">
        <f t="shared" si="14"/>
        <v>102900</v>
      </c>
      <c r="Y10" s="164">
        <f t="shared" si="7"/>
        <v>0.33333333333333331</v>
      </c>
      <c r="Z10" s="144"/>
      <c r="AD10" s="153"/>
      <c r="AE10" s="144"/>
      <c r="AF10" s="144"/>
    </row>
    <row r="11" spans="1:76" s="100" customFormat="1">
      <c r="B11" s="100">
        <v>430</v>
      </c>
      <c r="C11" s="100" t="s">
        <v>546</v>
      </c>
      <c r="D11" s="101" t="str">
        <f t="shared" si="8"/>
        <v xml:space="preserve"> 762</v>
      </c>
      <c r="E11" s="291" t="s">
        <v>546</v>
      </c>
      <c r="F11" s="101">
        <f t="shared" si="9"/>
        <v>0</v>
      </c>
      <c r="G11" s="100" t="s">
        <v>65</v>
      </c>
      <c r="H11" s="101" t="str">
        <f t="shared" si="10"/>
        <v xml:space="preserve">LSR </v>
      </c>
      <c r="I11" s="100" t="s">
        <v>868</v>
      </c>
      <c r="J11" s="100" t="s">
        <v>785</v>
      </c>
      <c r="K11" s="218">
        <v>69000</v>
      </c>
      <c r="L11" s="135">
        <f t="shared" ref="L11:L20" si="17">K11-N11</f>
        <v>7550</v>
      </c>
      <c r="M11" s="101" t="s">
        <v>69</v>
      </c>
      <c r="N11" s="103">
        <f t="shared" si="1"/>
        <v>61450</v>
      </c>
      <c r="O11" s="104">
        <f t="shared" si="15"/>
        <v>7550</v>
      </c>
      <c r="P11" s="219">
        <f t="shared" si="2"/>
        <v>69000</v>
      </c>
      <c r="Q11" s="226"/>
      <c r="R11" s="100" t="s">
        <v>296</v>
      </c>
      <c r="S11" s="22">
        <v>3000</v>
      </c>
      <c r="T11" s="22">
        <f t="shared" si="3"/>
        <v>72000</v>
      </c>
      <c r="U11" s="22">
        <f t="shared" si="11"/>
        <v>102857.14285714287</v>
      </c>
      <c r="V11" s="23">
        <f t="shared" si="12"/>
        <v>117551.02040816328</v>
      </c>
      <c r="W11" s="24">
        <f t="shared" si="13"/>
        <v>0.12500000000000003</v>
      </c>
      <c r="X11" s="23">
        <f t="shared" si="14"/>
        <v>117600</v>
      </c>
      <c r="Y11" s="164">
        <f t="shared" si="7"/>
        <v>0.32916666666666677</v>
      </c>
      <c r="Z11" s="144"/>
      <c r="AD11" s="153"/>
      <c r="AE11" s="144"/>
      <c r="AF11" s="144"/>
    </row>
    <row r="12" spans="1:76" s="100" customFormat="1">
      <c r="B12" s="100">
        <v>431</v>
      </c>
      <c r="C12" s="255" t="s">
        <v>875</v>
      </c>
      <c r="D12" s="101" t="str">
        <f t="shared" si="8"/>
        <v xml:space="preserve"> 603</v>
      </c>
      <c r="E12" s="291" t="s">
        <v>875</v>
      </c>
      <c r="F12" s="101">
        <f t="shared" si="9"/>
        <v>0</v>
      </c>
      <c r="G12" s="100" t="s">
        <v>65</v>
      </c>
      <c r="H12" s="101" t="str">
        <f t="shared" si="10"/>
        <v xml:space="preserve">LML </v>
      </c>
      <c r="I12" s="100" t="s">
        <v>868</v>
      </c>
      <c r="J12" s="100" t="s">
        <v>784</v>
      </c>
      <c r="K12" s="102">
        <v>66000</v>
      </c>
      <c r="L12" s="135">
        <f t="shared" si="17"/>
        <v>0</v>
      </c>
      <c r="M12" s="101" t="s">
        <v>67</v>
      </c>
      <c r="N12" s="103">
        <v>66000</v>
      </c>
      <c r="O12" s="104">
        <f>2000+3450+800+300+650</f>
        <v>7200</v>
      </c>
      <c r="P12" s="105">
        <f t="shared" si="2"/>
        <v>73200</v>
      </c>
      <c r="Q12" s="227" t="s">
        <v>777</v>
      </c>
      <c r="R12" s="100" t="s">
        <v>293</v>
      </c>
      <c r="S12" s="22">
        <v>3000</v>
      </c>
      <c r="T12" s="22">
        <f t="shared" si="3"/>
        <v>76200</v>
      </c>
      <c r="U12" s="22">
        <f t="shared" si="11"/>
        <v>108857.14285714287</v>
      </c>
      <c r="V12" s="23">
        <f t="shared" si="12"/>
        <v>124408.16326530614</v>
      </c>
      <c r="W12" s="24">
        <f t="shared" si="13"/>
        <v>0.12500000000000003</v>
      </c>
      <c r="X12" s="23">
        <f t="shared" si="14"/>
        <v>124500</v>
      </c>
      <c r="Y12" s="164">
        <f t="shared" si="7"/>
        <v>0.32755905511811029</v>
      </c>
      <c r="Z12" s="144"/>
      <c r="AD12" s="153"/>
      <c r="AE12" s="144"/>
      <c r="AF12" s="144"/>
    </row>
    <row r="13" spans="1:76" s="100" customFormat="1">
      <c r="B13" s="100">
        <v>432</v>
      </c>
      <c r="C13" s="100" t="s">
        <v>793</v>
      </c>
      <c r="D13" s="101" t="str">
        <f t="shared" si="8"/>
        <v xml:space="preserve"> 953</v>
      </c>
      <c r="E13" s="291" t="s">
        <v>793</v>
      </c>
      <c r="F13" s="101">
        <f t="shared" si="9"/>
        <v>0</v>
      </c>
      <c r="G13" s="100" t="s">
        <v>68</v>
      </c>
      <c r="H13" s="101" t="str">
        <f t="shared" si="10"/>
        <v xml:space="preserve">LSB </v>
      </c>
      <c r="I13" s="100" t="s">
        <v>868</v>
      </c>
      <c r="J13" s="100" t="s">
        <v>770</v>
      </c>
      <c r="K13" s="215">
        <v>100000</v>
      </c>
      <c r="L13" s="135">
        <f t="shared" si="17"/>
        <v>7550</v>
      </c>
      <c r="M13" s="101" t="s">
        <v>69</v>
      </c>
      <c r="N13" s="103">
        <f t="shared" ref="N13:N19" si="18">K13-O13</f>
        <v>92450</v>
      </c>
      <c r="O13" s="104">
        <f t="shared" si="15"/>
        <v>7550</v>
      </c>
      <c r="P13" s="216">
        <f t="shared" si="2"/>
        <v>100000</v>
      </c>
      <c r="Q13" s="272"/>
      <c r="R13" s="100" t="s">
        <v>296</v>
      </c>
      <c r="S13" s="22">
        <v>3000</v>
      </c>
      <c r="T13" s="22">
        <f t="shared" si="3"/>
        <v>103000</v>
      </c>
      <c r="U13" s="22">
        <f t="shared" si="11"/>
        <v>147142.85714285716</v>
      </c>
      <c r="V13" s="23">
        <f t="shared" si="12"/>
        <v>168163.26530612246</v>
      </c>
      <c r="W13" s="24">
        <f t="shared" si="13"/>
        <v>0.12499999999999993</v>
      </c>
      <c r="X13" s="23">
        <f t="shared" si="14"/>
        <v>168200</v>
      </c>
      <c r="Y13" s="164">
        <f t="shared" si="7"/>
        <v>0.32038834951456319</v>
      </c>
      <c r="Z13" s="244">
        <v>142857</v>
      </c>
      <c r="AA13" s="256">
        <f>U13-Z13</f>
        <v>4285.8571428571595</v>
      </c>
      <c r="AB13" s="189">
        <f>AA13/Z13</f>
        <v>3.0001030001030118E-2</v>
      </c>
      <c r="AD13" s="153"/>
      <c r="AE13" s="144"/>
      <c r="AF13" s="144"/>
    </row>
    <row r="14" spans="1:76" s="100" customFormat="1">
      <c r="B14" s="100">
        <v>433</v>
      </c>
      <c r="C14" s="100" t="s">
        <v>776</v>
      </c>
      <c r="D14" s="101" t="str">
        <f t="shared" si="8"/>
        <v xml:space="preserve"> 700</v>
      </c>
      <c r="E14" s="291" t="s">
        <v>776</v>
      </c>
      <c r="F14" s="101">
        <f t="shared" si="9"/>
        <v>0</v>
      </c>
      <c r="G14" s="100" t="s">
        <v>65</v>
      </c>
      <c r="H14" s="101" t="str">
        <f t="shared" si="10"/>
        <v xml:space="preserve">LEV </v>
      </c>
      <c r="I14" s="100" t="s">
        <v>868</v>
      </c>
      <c r="J14" s="100" t="s">
        <v>755</v>
      </c>
      <c r="K14" s="218">
        <v>78000</v>
      </c>
      <c r="L14" s="135">
        <f t="shared" si="17"/>
        <v>7550</v>
      </c>
      <c r="M14" s="101" t="s">
        <v>69</v>
      </c>
      <c r="N14" s="103">
        <f t="shared" si="18"/>
        <v>70450</v>
      </c>
      <c r="O14" s="104">
        <f t="shared" si="15"/>
        <v>7550</v>
      </c>
      <c r="P14" s="219">
        <f t="shared" si="2"/>
        <v>78000</v>
      </c>
      <c r="Q14" s="226"/>
      <c r="R14" s="100" t="s">
        <v>296</v>
      </c>
      <c r="S14" s="22">
        <v>3000</v>
      </c>
      <c r="T14" s="22">
        <f t="shared" si="3"/>
        <v>81000</v>
      </c>
      <c r="U14" s="22">
        <f t="shared" si="11"/>
        <v>115714.28571428572</v>
      </c>
      <c r="V14" s="23">
        <f t="shared" si="12"/>
        <v>132244.8979591837</v>
      </c>
      <c r="W14" s="24">
        <f t="shared" si="13"/>
        <v>0.12500000000000008</v>
      </c>
      <c r="X14" s="23">
        <f t="shared" si="14"/>
        <v>132300</v>
      </c>
      <c r="Y14" s="164">
        <f t="shared" si="7"/>
        <v>0.32592592592592601</v>
      </c>
      <c r="Z14" s="144"/>
      <c r="AD14" s="153"/>
      <c r="AE14" s="144"/>
      <c r="AF14" s="144"/>
    </row>
    <row r="15" spans="1:76" s="100" customFormat="1">
      <c r="B15" s="100">
        <v>434</v>
      </c>
      <c r="C15" s="100" t="s">
        <v>547</v>
      </c>
      <c r="D15" s="101" t="str">
        <f t="shared" si="8"/>
        <v xml:space="preserve"> 976</v>
      </c>
      <c r="E15" s="291" t="s">
        <v>547</v>
      </c>
      <c r="F15" s="101">
        <f t="shared" si="9"/>
        <v>0</v>
      </c>
      <c r="G15" s="100" t="s">
        <v>65</v>
      </c>
      <c r="H15" s="101" t="str">
        <f t="shared" si="10"/>
        <v xml:space="preserve">LEV </v>
      </c>
      <c r="I15" s="100" t="s">
        <v>868</v>
      </c>
      <c r="J15" s="100" t="s">
        <v>755</v>
      </c>
      <c r="K15" s="218">
        <v>67500</v>
      </c>
      <c r="L15" s="135">
        <f t="shared" si="17"/>
        <v>6950</v>
      </c>
      <c r="M15" s="101" t="s">
        <v>69</v>
      </c>
      <c r="N15" s="103">
        <f t="shared" si="18"/>
        <v>60550</v>
      </c>
      <c r="O15" s="104">
        <f>2000+2850+800+300+1000</f>
        <v>6950</v>
      </c>
      <c r="P15" s="219">
        <f t="shared" si="2"/>
        <v>67500</v>
      </c>
      <c r="Q15" s="226"/>
      <c r="R15" s="100" t="s">
        <v>310</v>
      </c>
      <c r="S15" s="22">
        <v>3000</v>
      </c>
      <c r="T15" s="22">
        <f t="shared" si="3"/>
        <v>70500</v>
      </c>
      <c r="U15" s="22">
        <f t="shared" si="11"/>
        <v>100714.28571428572</v>
      </c>
      <c r="V15" s="23">
        <f t="shared" si="12"/>
        <v>115102.04081632654</v>
      </c>
      <c r="W15" s="24">
        <f t="shared" si="13"/>
        <v>0.12499999999999997</v>
      </c>
      <c r="X15" s="23">
        <f t="shared" si="14"/>
        <v>115200</v>
      </c>
      <c r="Y15" s="164">
        <f t="shared" si="7"/>
        <v>0.32978723404255328</v>
      </c>
      <c r="Z15" s="144"/>
      <c r="AD15" s="153"/>
      <c r="AE15" s="144"/>
      <c r="AF15" s="144"/>
    </row>
    <row r="16" spans="1:76" s="100" customFormat="1">
      <c r="B16" s="100">
        <v>435</v>
      </c>
      <c r="C16" s="100" t="s">
        <v>548</v>
      </c>
      <c r="D16" s="101" t="str">
        <f t="shared" si="8"/>
        <v xml:space="preserve"> 901</v>
      </c>
      <c r="E16" s="291" t="s">
        <v>548</v>
      </c>
      <c r="F16" s="101">
        <f t="shared" si="9"/>
        <v>0</v>
      </c>
      <c r="G16" s="100" t="s">
        <v>65</v>
      </c>
      <c r="H16" s="101" t="str">
        <f t="shared" si="10"/>
        <v xml:space="preserve">LJC </v>
      </c>
      <c r="I16" s="100" t="s">
        <v>868</v>
      </c>
      <c r="J16" s="100" t="s">
        <v>782</v>
      </c>
      <c r="K16" s="218">
        <v>71000</v>
      </c>
      <c r="L16" s="135">
        <f t="shared" si="17"/>
        <v>7200</v>
      </c>
      <c r="M16" s="101" t="s">
        <v>69</v>
      </c>
      <c r="N16" s="103">
        <f t="shared" si="18"/>
        <v>63800</v>
      </c>
      <c r="O16" s="104">
        <f>2000+3450+800+300+650</f>
        <v>7200</v>
      </c>
      <c r="P16" s="209">
        <f t="shared" si="2"/>
        <v>71000</v>
      </c>
      <c r="Q16" s="227"/>
      <c r="R16" s="100" t="s">
        <v>293</v>
      </c>
      <c r="S16" s="22">
        <v>3000</v>
      </c>
      <c r="T16" s="22">
        <f t="shared" si="3"/>
        <v>74000</v>
      </c>
      <c r="U16" s="22">
        <f t="shared" si="11"/>
        <v>105714.28571428572</v>
      </c>
      <c r="V16" s="23">
        <f t="shared" si="12"/>
        <v>120816.32653061226</v>
      </c>
      <c r="W16" s="24">
        <f t="shared" si="13"/>
        <v>0.12500000000000006</v>
      </c>
      <c r="X16" s="23">
        <f t="shared" si="14"/>
        <v>120900</v>
      </c>
      <c r="Y16" s="164">
        <f t="shared" si="7"/>
        <v>0.32837837837837847</v>
      </c>
      <c r="Z16" s="144"/>
      <c r="AD16" s="153"/>
      <c r="AE16" s="144"/>
      <c r="AF16" s="144"/>
    </row>
    <row r="17" spans="1:32" s="100" customFormat="1">
      <c r="B17" s="100">
        <v>436</v>
      </c>
      <c r="C17" s="100" t="s">
        <v>794</v>
      </c>
      <c r="D17" s="101" t="str">
        <f t="shared" si="8"/>
        <v xml:space="preserve"> 223</v>
      </c>
      <c r="E17" s="291" t="s">
        <v>794</v>
      </c>
      <c r="F17" s="101">
        <f t="shared" si="9"/>
        <v>0</v>
      </c>
      <c r="G17" s="100" t="s">
        <v>68</v>
      </c>
      <c r="H17" s="101" t="str">
        <f t="shared" si="10"/>
        <v xml:space="preserve">LSB </v>
      </c>
      <c r="I17" s="100" t="s">
        <v>868</v>
      </c>
      <c r="J17" s="100" t="s">
        <v>770</v>
      </c>
      <c r="K17" s="64">
        <v>92500</v>
      </c>
      <c r="L17" s="135">
        <f t="shared" si="17"/>
        <v>7550</v>
      </c>
      <c r="M17" s="101" t="s">
        <v>69</v>
      </c>
      <c r="N17" s="103">
        <f t="shared" si="18"/>
        <v>84950</v>
      </c>
      <c r="O17" s="104">
        <f>2000+3450+800+300+1000</f>
        <v>7550</v>
      </c>
      <c r="P17" s="214">
        <f t="shared" si="2"/>
        <v>92500</v>
      </c>
      <c r="Q17" s="226" t="s">
        <v>769</v>
      </c>
      <c r="R17" s="100" t="s">
        <v>296</v>
      </c>
      <c r="S17" s="22">
        <v>3000</v>
      </c>
      <c r="T17" s="22">
        <f t="shared" si="3"/>
        <v>95500</v>
      </c>
      <c r="U17" s="22">
        <f t="shared" si="11"/>
        <v>136428.57142857145</v>
      </c>
      <c r="V17" s="23">
        <f t="shared" si="12"/>
        <v>155918.36734693879</v>
      </c>
      <c r="W17" s="24">
        <f t="shared" si="13"/>
        <v>0.12499999999999993</v>
      </c>
      <c r="X17" s="23">
        <f t="shared" si="14"/>
        <v>156000</v>
      </c>
      <c r="Y17" s="164">
        <f t="shared" si="7"/>
        <v>0.32198952879581161</v>
      </c>
      <c r="Z17" s="244">
        <v>133857</v>
      </c>
      <c r="AA17" s="256">
        <f t="shared" ref="AA17:AA21" si="19">U17-Z17</f>
        <v>2571.5714285714494</v>
      </c>
      <c r="AB17" s="189">
        <f t="shared" ref="AB17:AB21" si="20">AA17/Z17</f>
        <v>1.9211333203130575E-2</v>
      </c>
      <c r="AD17" s="153"/>
      <c r="AE17" s="144"/>
      <c r="AF17" s="144"/>
    </row>
    <row r="18" spans="1:32" s="100" customFormat="1">
      <c r="B18" s="100">
        <v>437</v>
      </c>
      <c r="C18" s="100" t="s">
        <v>796</v>
      </c>
      <c r="D18" s="101" t="str">
        <f t="shared" si="8"/>
        <v xml:space="preserve"> 169</v>
      </c>
      <c r="E18" s="291" t="s">
        <v>796</v>
      </c>
      <c r="F18" s="101">
        <f t="shared" si="9"/>
        <v>0</v>
      </c>
      <c r="G18" s="100" t="s">
        <v>68</v>
      </c>
      <c r="H18" s="101" t="str">
        <f t="shared" si="10"/>
        <v xml:space="preserve">LEV </v>
      </c>
      <c r="I18" s="100" t="s">
        <v>868</v>
      </c>
      <c r="J18" s="100" t="s">
        <v>755</v>
      </c>
      <c r="K18" s="218">
        <v>82500</v>
      </c>
      <c r="L18" s="135">
        <f t="shared" si="17"/>
        <v>7550</v>
      </c>
      <c r="M18" s="101" t="s">
        <v>69</v>
      </c>
      <c r="N18" s="103">
        <f t="shared" si="18"/>
        <v>74950</v>
      </c>
      <c r="O18" s="104">
        <f>2000+3450+800+300+1000</f>
        <v>7550</v>
      </c>
      <c r="P18" s="209">
        <f t="shared" si="2"/>
        <v>82500</v>
      </c>
      <c r="Q18" s="227"/>
      <c r="R18" s="100" t="s">
        <v>296</v>
      </c>
      <c r="S18" s="22">
        <v>3000</v>
      </c>
      <c r="T18" s="22">
        <f t="shared" si="3"/>
        <v>85500</v>
      </c>
      <c r="U18" s="22">
        <f t="shared" si="11"/>
        <v>122142.85714285714</v>
      </c>
      <c r="V18" s="23">
        <f t="shared" si="12"/>
        <v>139591.83673469388</v>
      </c>
      <c r="W18" s="24">
        <f t="shared" si="13"/>
        <v>0.12499999999999997</v>
      </c>
      <c r="X18" s="23">
        <f t="shared" si="14"/>
        <v>139600</v>
      </c>
      <c r="Y18" s="164">
        <f t="shared" si="7"/>
        <v>0.32456140350877194</v>
      </c>
      <c r="Z18" s="244">
        <v>117857</v>
      </c>
      <c r="AA18" s="256">
        <f t="shared" si="19"/>
        <v>4285.8571428571449</v>
      </c>
      <c r="AB18" s="189">
        <f t="shared" si="20"/>
        <v>3.6364892563506154E-2</v>
      </c>
      <c r="AD18" s="153"/>
      <c r="AE18" s="144"/>
      <c r="AF18" s="144"/>
    </row>
    <row r="19" spans="1:32" s="100" customFormat="1">
      <c r="B19" s="100">
        <v>438</v>
      </c>
      <c r="C19" s="100" t="s">
        <v>795</v>
      </c>
      <c r="D19" s="101" t="str">
        <f t="shared" si="8"/>
        <v xml:space="preserve"> 614</v>
      </c>
      <c r="E19" s="291" t="s">
        <v>795</v>
      </c>
      <c r="F19" s="101">
        <f t="shared" si="9"/>
        <v>0</v>
      </c>
      <c r="G19" s="100" t="s">
        <v>68</v>
      </c>
      <c r="H19" s="101" t="str">
        <f t="shared" si="10"/>
        <v xml:space="preserve">LEW </v>
      </c>
      <c r="I19" s="100" t="s">
        <v>868</v>
      </c>
      <c r="J19" s="100" t="s">
        <v>790</v>
      </c>
      <c r="K19" s="215">
        <v>78000</v>
      </c>
      <c r="L19" s="135">
        <f t="shared" si="17"/>
        <v>5950</v>
      </c>
      <c r="M19" s="101" t="s">
        <v>69</v>
      </c>
      <c r="N19" s="103">
        <f t="shared" si="18"/>
        <v>72050</v>
      </c>
      <c r="O19" s="104">
        <f>2000+2850+800+300</f>
        <v>5950</v>
      </c>
      <c r="P19" s="219">
        <f t="shared" si="2"/>
        <v>78000</v>
      </c>
      <c r="Q19" s="226">
        <v>2000</v>
      </c>
      <c r="R19" s="100" t="s">
        <v>327</v>
      </c>
      <c r="S19" s="22">
        <v>3000</v>
      </c>
      <c r="T19" s="22">
        <f t="shared" si="3"/>
        <v>81000</v>
      </c>
      <c r="U19" s="22">
        <f t="shared" si="11"/>
        <v>115714.28571428572</v>
      </c>
      <c r="V19" s="23">
        <f t="shared" si="12"/>
        <v>132244.8979591837</v>
      </c>
      <c r="W19" s="24">
        <f t="shared" si="13"/>
        <v>0.12500000000000008</v>
      </c>
      <c r="X19" s="23">
        <f t="shared" si="14"/>
        <v>132300</v>
      </c>
      <c r="Y19" s="164">
        <f t="shared" si="7"/>
        <v>0.32592592592592601</v>
      </c>
      <c r="Z19" s="244">
        <v>111429</v>
      </c>
      <c r="AA19" s="256">
        <f t="shared" si="19"/>
        <v>4285.2857142857247</v>
      </c>
      <c r="AB19" s="189">
        <f t="shared" si="20"/>
        <v>3.8457544394060114E-2</v>
      </c>
      <c r="AD19" s="153"/>
      <c r="AE19" s="144"/>
      <c r="AF19" s="144"/>
    </row>
    <row r="20" spans="1:32" s="100" customFormat="1">
      <c r="B20" s="100">
        <v>439</v>
      </c>
      <c r="C20" s="100" t="s">
        <v>797</v>
      </c>
      <c r="D20" s="101" t="str">
        <f t="shared" si="8"/>
        <v xml:space="preserve"> 353</v>
      </c>
      <c r="E20" s="291" t="s">
        <v>797</v>
      </c>
      <c r="F20" s="101">
        <f t="shared" si="9"/>
        <v>0</v>
      </c>
      <c r="G20" s="100" t="s">
        <v>68</v>
      </c>
      <c r="H20" s="101" t="str">
        <f t="shared" si="10"/>
        <v xml:space="preserve">LAC </v>
      </c>
      <c r="I20" s="100" t="s">
        <v>868</v>
      </c>
      <c r="J20" s="100" t="s">
        <v>780</v>
      </c>
      <c r="K20" s="218">
        <v>64000</v>
      </c>
      <c r="L20" s="135">
        <f t="shared" si="17"/>
        <v>0</v>
      </c>
      <c r="M20" s="101" t="s">
        <v>67</v>
      </c>
      <c r="N20" s="217">
        <f>K20</f>
        <v>64000</v>
      </c>
      <c r="O20" s="104">
        <f>2000+2850+800+300+1000</f>
        <v>6950</v>
      </c>
      <c r="P20" s="106">
        <f t="shared" si="2"/>
        <v>70950</v>
      </c>
      <c r="Q20" s="227"/>
      <c r="R20" s="100" t="s">
        <v>310</v>
      </c>
      <c r="S20" s="22">
        <v>1000</v>
      </c>
      <c r="T20" s="22">
        <f t="shared" si="3"/>
        <v>71950</v>
      </c>
      <c r="U20" s="22">
        <f t="shared" si="11"/>
        <v>102785.71428571429</v>
      </c>
      <c r="V20" s="23">
        <f t="shared" si="12"/>
        <v>117469.38775510204</v>
      </c>
      <c r="W20" s="24">
        <f t="shared" si="13"/>
        <v>0.12499999999999997</v>
      </c>
      <c r="X20" s="23">
        <f t="shared" si="14"/>
        <v>117500</v>
      </c>
      <c r="Y20" s="164">
        <f t="shared" si="7"/>
        <v>0.30972897845726199</v>
      </c>
      <c r="Z20" s="244">
        <v>97714</v>
      </c>
      <c r="AA20" s="256">
        <f t="shared" si="19"/>
        <v>5071.7142857142899</v>
      </c>
      <c r="AB20" s="189">
        <f t="shared" si="20"/>
        <v>5.1903660537019156E-2</v>
      </c>
      <c r="AD20" s="153"/>
      <c r="AE20" s="144"/>
      <c r="AF20" s="144"/>
    </row>
    <row r="21" spans="1:32" s="100" customFormat="1">
      <c r="B21" s="100">
        <v>440</v>
      </c>
      <c r="C21" s="100" t="s">
        <v>798</v>
      </c>
      <c r="D21" s="101" t="str">
        <f t="shared" si="8"/>
        <v xml:space="preserve"> 449</v>
      </c>
      <c r="E21" s="291" t="s">
        <v>798</v>
      </c>
      <c r="F21" s="101">
        <f t="shared" si="9"/>
        <v>0</v>
      </c>
      <c r="G21" s="100" t="s">
        <v>68</v>
      </c>
      <c r="H21" s="101" t="str">
        <f t="shared" si="10"/>
        <v xml:space="preserve">LAC </v>
      </c>
      <c r="I21" s="100" t="s">
        <v>868</v>
      </c>
      <c r="J21" s="100" t="s">
        <v>780</v>
      </c>
      <c r="K21" s="218">
        <v>64000</v>
      </c>
      <c r="L21" s="135">
        <f>K21-P21</f>
        <v>-6950</v>
      </c>
      <c r="M21" s="101" t="s">
        <v>67</v>
      </c>
      <c r="N21" s="217">
        <f>K21</f>
        <v>64000</v>
      </c>
      <c r="O21" s="104">
        <f>2000+2850+800+300+1000</f>
        <v>6950</v>
      </c>
      <c r="P21" s="104">
        <f t="shared" si="2"/>
        <v>70950</v>
      </c>
      <c r="Q21" s="226"/>
      <c r="R21" s="100" t="s">
        <v>310</v>
      </c>
      <c r="S21" s="22">
        <v>1000</v>
      </c>
      <c r="T21" s="22">
        <f t="shared" si="3"/>
        <v>71950</v>
      </c>
      <c r="U21" s="22">
        <f t="shared" si="11"/>
        <v>102785.71428571429</v>
      </c>
      <c r="V21" s="23">
        <f t="shared" si="12"/>
        <v>117469.38775510204</v>
      </c>
      <c r="W21" s="24">
        <f t="shared" si="13"/>
        <v>0.12499999999999997</v>
      </c>
      <c r="X21" s="23">
        <f t="shared" si="14"/>
        <v>117500</v>
      </c>
      <c r="Y21" s="164">
        <f t="shared" si="7"/>
        <v>0.30972897845726199</v>
      </c>
      <c r="Z21" s="244">
        <v>97714</v>
      </c>
      <c r="AA21" s="256">
        <f t="shared" si="19"/>
        <v>5071.7142857142899</v>
      </c>
      <c r="AB21" s="189">
        <f t="shared" si="20"/>
        <v>5.1903660537019156E-2</v>
      </c>
      <c r="AD21" s="153"/>
      <c r="AE21" s="144"/>
      <c r="AF21" s="144"/>
    </row>
    <row r="22" spans="1:32" s="100" customFormat="1">
      <c r="B22" s="100">
        <v>441</v>
      </c>
      <c r="C22" s="100" t="s">
        <v>549</v>
      </c>
      <c r="D22" s="101" t="str">
        <f t="shared" si="8"/>
        <v xml:space="preserve"> 137</v>
      </c>
      <c r="E22" s="291" t="s">
        <v>549</v>
      </c>
      <c r="F22" s="101">
        <f t="shared" si="9"/>
        <v>0</v>
      </c>
      <c r="G22" s="100" t="s">
        <v>65</v>
      </c>
      <c r="H22" s="101" t="str">
        <f t="shared" si="10"/>
        <v xml:space="preserve">LNS </v>
      </c>
      <c r="I22" s="100" t="s">
        <v>868</v>
      </c>
      <c r="J22" s="100" t="s">
        <v>298</v>
      </c>
      <c r="K22" s="102">
        <v>72000</v>
      </c>
      <c r="L22" s="135">
        <f t="shared" ref="L22:L28" si="21">K22-N22</f>
        <v>6950</v>
      </c>
      <c r="M22" s="101" t="s">
        <v>69</v>
      </c>
      <c r="N22" s="103">
        <f>K22-O22</f>
        <v>65050</v>
      </c>
      <c r="O22" s="104">
        <f>2000+2850+800+300+1000</f>
        <v>6950</v>
      </c>
      <c r="P22" s="104">
        <f t="shared" si="2"/>
        <v>72000</v>
      </c>
      <c r="Q22" s="227" t="s">
        <v>777</v>
      </c>
      <c r="R22" s="100" t="s">
        <v>310</v>
      </c>
      <c r="S22" s="22">
        <v>3000</v>
      </c>
      <c r="T22" s="22">
        <f t="shared" si="3"/>
        <v>75000</v>
      </c>
      <c r="U22" s="22">
        <f t="shared" si="11"/>
        <v>107142.85714285714</v>
      </c>
      <c r="V22" s="23">
        <f t="shared" si="12"/>
        <v>122448.97959183673</v>
      </c>
      <c r="W22" s="24">
        <f t="shared" si="13"/>
        <v>0.12499999999999996</v>
      </c>
      <c r="X22" s="23">
        <f t="shared" si="14"/>
        <v>122500</v>
      </c>
      <c r="Y22" s="164">
        <f t="shared" si="7"/>
        <v>0.32800000000000001</v>
      </c>
      <c r="Z22" s="144"/>
      <c r="AD22" s="153"/>
      <c r="AE22" s="144"/>
      <c r="AF22" s="144"/>
    </row>
    <row r="23" spans="1:32" s="100" customFormat="1">
      <c r="B23" s="100">
        <v>442</v>
      </c>
      <c r="C23" s="100" t="s">
        <v>550</v>
      </c>
      <c r="D23" s="101" t="str">
        <f t="shared" si="8"/>
        <v xml:space="preserve"> 121</v>
      </c>
      <c r="E23" s="291" t="s">
        <v>550</v>
      </c>
      <c r="F23" s="101">
        <f t="shared" si="9"/>
        <v>0</v>
      </c>
      <c r="G23" s="100" t="s">
        <v>65</v>
      </c>
      <c r="H23" s="101" t="str">
        <f t="shared" si="10"/>
        <v xml:space="preserve">LMI </v>
      </c>
      <c r="I23" s="100" t="s">
        <v>868</v>
      </c>
      <c r="J23" s="100" t="s">
        <v>759</v>
      </c>
      <c r="K23" s="218">
        <v>65000</v>
      </c>
      <c r="L23" s="135">
        <f t="shared" si="21"/>
        <v>6950</v>
      </c>
      <c r="M23" s="101" t="s">
        <v>69</v>
      </c>
      <c r="N23" s="103">
        <f>K23-O23</f>
        <v>58050</v>
      </c>
      <c r="O23" s="104">
        <f>2000+2850+800+300+1000</f>
        <v>6950</v>
      </c>
      <c r="P23" s="217">
        <f t="shared" si="2"/>
        <v>65000</v>
      </c>
      <c r="Q23" s="226"/>
      <c r="R23" s="100" t="s">
        <v>310</v>
      </c>
      <c r="S23" s="22">
        <v>3000</v>
      </c>
      <c r="T23" s="22">
        <f t="shared" si="3"/>
        <v>68000</v>
      </c>
      <c r="U23" s="22">
        <f t="shared" si="11"/>
        <v>97142.857142857145</v>
      </c>
      <c r="V23" s="23">
        <f t="shared" si="12"/>
        <v>111020.40816326531</v>
      </c>
      <c r="W23" s="24">
        <f t="shared" si="13"/>
        <v>0.12500000000000003</v>
      </c>
      <c r="X23" s="23">
        <f t="shared" si="14"/>
        <v>111100</v>
      </c>
      <c r="Y23" s="164">
        <f t="shared" si="7"/>
        <v>0.33088235294117646</v>
      </c>
      <c r="Z23" s="144"/>
      <c r="AD23" s="153"/>
      <c r="AE23" s="144"/>
      <c r="AF23" s="144"/>
    </row>
    <row r="24" spans="1:32" s="100" customFormat="1">
      <c r="B24" s="100">
        <v>443</v>
      </c>
      <c r="C24" s="100" t="s">
        <v>551</v>
      </c>
      <c r="D24" s="101" t="str">
        <f t="shared" si="8"/>
        <v xml:space="preserve"> 439</v>
      </c>
      <c r="E24" s="291" t="s">
        <v>551</v>
      </c>
      <c r="F24" s="101">
        <f t="shared" si="9"/>
        <v>0</v>
      </c>
      <c r="G24" s="100" t="s">
        <v>65</v>
      </c>
      <c r="H24" s="101" t="str">
        <f t="shared" si="10"/>
        <v xml:space="preserve">LAC </v>
      </c>
      <c r="I24" s="100" t="s">
        <v>868</v>
      </c>
      <c r="J24" s="100" t="s">
        <v>780</v>
      </c>
      <c r="K24" s="218">
        <v>64000</v>
      </c>
      <c r="L24" s="135">
        <f t="shared" si="21"/>
        <v>0</v>
      </c>
      <c r="M24" s="101" t="s">
        <v>67</v>
      </c>
      <c r="N24" s="217">
        <f t="shared" ref="N24:N25" si="22">K24</f>
        <v>64000</v>
      </c>
      <c r="O24" s="104">
        <f t="shared" ref="O24:O29" si="23">2000+3450+800+300</f>
        <v>6550</v>
      </c>
      <c r="P24" s="105">
        <f t="shared" si="2"/>
        <v>70550</v>
      </c>
      <c r="Q24" s="226"/>
      <c r="R24" s="100" t="s">
        <v>327</v>
      </c>
      <c r="S24" s="22">
        <v>3000</v>
      </c>
      <c r="T24" s="22">
        <f t="shared" si="3"/>
        <v>73550</v>
      </c>
      <c r="U24" s="22">
        <f t="shared" si="11"/>
        <v>105071.42857142858</v>
      </c>
      <c r="V24" s="23">
        <f t="shared" si="12"/>
        <v>120081.63265306123</v>
      </c>
      <c r="W24" s="24">
        <f t="shared" si="13"/>
        <v>0.12499999999999996</v>
      </c>
      <c r="X24" s="23">
        <f t="shared" si="14"/>
        <v>120100</v>
      </c>
      <c r="Y24" s="164">
        <f t="shared" si="7"/>
        <v>0.32855200543847729</v>
      </c>
      <c r="Z24" s="144"/>
      <c r="AD24" s="153"/>
      <c r="AE24" s="144"/>
      <c r="AF24" s="144"/>
    </row>
    <row r="25" spans="1:32" s="100" customFormat="1">
      <c r="B25" s="100">
        <v>444</v>
      </c>
      <c r="C25" s="100" t="s">
        <v>552</v>
      </c>
      <c r="D25" s="101" t="str">
        <f t="shared" si="8"/>
        <v xml:space="preserve"> 630</v>
      </c>
      <c r="E25" s="291" t="s">
        <v>552</v>
      </c>
      <c r="F25" s="101">
        <f t="shared" si="9"/>
        <v>0</v>
      </c>
      <c r="G25" s="100" t="s">
        <v>65</v>
      </c>
      <c r="H25" s="101" t="str">
        <f t="shared" si="10"/>
        <v xml:space="preserve">LRB </v>
      </c>
      <c r="I25" s="100" t="s">
        <v>868</v>
      </c>
      <c r="J25" s="100" t="s">
        <v>760</v>
      </c>
      <c r="K25" s="218">
        <v>72000</v>
      </c>
      <c r="L25" s="135">
        <f t="shared" si="21"/>
        <v>0</v>
      </c>
      <c r="M25" s="101" t="s">
        <v>67</v>
      </c>
      <c r="N25" s="217">
        <f t="shared" si="22"/>
        <v>72000</v>
      </c>
      <c r="O25" s="104">
        <f>2000+2850+800+300+1000</f>
        <v>6950</v>
      </c>
      <c r="P25" s="106">
        <f t="shared" si="2"/>
        <v>78950</v>
      </c>
      <c r="Q25" s="227"/>
      <c r="R25" s="100" t="s">
        <v>310</v>
      </c>
      <c r="S25" s="22">
        <v>3000</v>
      </c>
      <c r="T25" s="22">
        <f t="shared" si="3"/>
        <v>81950</v>
      </c>
      <c r="U25" s="22">
        <f t="shared" si="11"/>
        <v>117071.42857142858</v>
      </c>
      <c r="V25" s="23">
        <f t="shared" si="12"/>
        <v>133795.91836734695</v>
      </c>
      <c r="W25" s="24">
        <f t="shared" si="13"/>
        <v>0.12500000000000003</v>
      </c>
      <c r="X25" s="23">
        <f t="shared" si="14"/>
        <v>133800</v>
      </c>
      <c r="Y25" s="164">
        <f t="shared" si="7"/>
        <v>0.32562538133007934</v>
      </c>
      <c r="Z25" s="144"/>
      <c r="AD25" s="153"/>
      <c r="AE25" s="144"/>
      <c r="AF25" s="144"/>
    </row>
    <row r="26" spans="1:32" s="100" customFormat="1">
      <c r="B26" s="100">
        <v>445</v>
      </c>
      <c r="C26" s="100" t="s">
        <v>553</v>
      </c>
      <c r="D26" s="101" t="str">
        <f t="shared" si="8"/>
        <v xml:space="preserve"> 562</v>
      </c>
      <c r="E26" s="291" t="s">
        <v>553</v>
      </c>
      <c r="F26" s="101">
        <f t="shared" si="9"/>
        <v>0</v>
      </c>
      <c r="G26" s="100" t="s">
        <v>65</v>
      </c>
      <c r="H26" s="101" t="str">
        <f t="shared" si="10"/>
        <v xml:space="preserve">LWT </v>
      </c>
      <c r="I26" s="100" t="s">
        <v>868</v>
      </c>
      <c r="J26" s="100" t="s">
        <v>781</v>
      </c>
      <c r="K26" s="218">
        <v>67500</v>
      </c>
      <c r="L26" s="135">
        <f t="shared" si="21"/>
        <v>6950</v>
      </c>
      <c r="M26" s="101" t="s">
        <v>69</v>
      </c>
      <c r="N26" s="103">
        <f>K26-O26</f>
        <v>60550</v>
      </c>
      <c r="O26" s="104">
        <f>2000+2850+800+300+1000</f>
        <v>6950</v>
      </c>
      <c r="P26" s="209">
        <f t="shared" si="2"/>
        <v>67500</v>
      </c>
      <c r="Q26" s="227"/>
      <c r="R26" s="100" t="s">
        <v>310</v>
      </c>
      <c r="S26" s="22">
        <v>3000</v>
      </c>
      <c r="T26" s="22">
        <f t="shared" si="3"/>
        <v>70500</v>
      </c>
      <c r="U26" s="22">
        <f t="shared" si="11"/>
        <v>100714.28571428572</v>
      </c>
      <c r="V26" s="23">
        <f t="shared" si="12"/>
        <v>115102.04081632654</v>
      </c>
      <c r="W26" s="24">
        <f t="shared" si="13"/>
        <v>0.12499999999999997</v>
      </c>
      <c r="X26" s="23">
        <f t="shared" si="14"/>
        <v>115200</v>
      </c>
      <c r="Y26" s="164">
        <f t="shared" si="7"/>
        <v>0.32978723404255328</v>
      </c>
      <c r="Z26" s="144"/>
      <c r="AD26" s="153"/>
      <c r="AE26" s="144"/>
      <c r="AF26" s="144"/>
    </row>
    <row r="27" spans="1:32" s="100" customFormat="1">
      <c r="B27" s="100">
        <v>446</v>
      </c>
      <c r="C27" s="100" t="s">
        <v>554</v>
      </c>
      <c r="D27" s="101" t="str">
        <f t="shared" si="8"/>
        <v xml:space="preserve"> 951</v>
      </c>
      <c r="E27" s="291" t="s">
        <v>554</v>
      </c>
      <c r="F27" s="101">
        <f t="shared" si="9"/>
        <v>0</v>
      </c>
      <c r="G27" s="100" t="s">
        <v>65</v>
      </c>
      <c r="H27" s="101" t="str">
        <f t="shared" si="10"/>
        <v xml:space="preserve">LMI </v>
      </c>
      <c r="I27" s="100" t="s">
        <v>868</v>
      </c>
      <c r="J27" s="100" t="s">
        <v>759</v>
      </c>
      <c r="K27" s="102">
        <v>65000</v>
      </c>
      <c r="L27" s="135">
        <f t="shared" si="21"/>
        <v>6950</v>
      </c>
      <c r="M27" s="101" t="s">
        <v>69</v>
      </c>
      <c r="N27" s="103">
        <f>K27-O27</f>
        <v>58050</v>
      </c>
      <c r="O27" s="104">
        <f>2000+2850+800+300+1000</f>
        <v>6950</v>
      </c>
      <c r="P27" s="106">
        <f t="shared" si="2"/>
        <v>65000</v>
      </c>
      <c r="Q27" s="227" t="s">
        <v>777</v>
      </c>
      <c r="R27" s="100" t="s">
        <v>310</v>
      </c>
      <c r="S27" s="22">
        <v>3000</v>
      </c>
      <c r="T27" s="22">
        <f t="shared" si="3"/>
        <v>68000</v>
      </c>
      <c r="U27" s="22">
        <f t="shared" si="11"/>
        <v>97142.857142857145</v>
      </c>
      <c r="V27" s="23">
        <f t="shared" si="12"/>
        <v>111020.40816326531</v>
      </c>
      <c r="W27" s="24">
        <f t="shared" si="13"/>
        <v>0.12500000000000003</v>
      </c>
      <c r="X27" s="23">
        <f t="shared" si="14"/>
        <v>111100</v>
      </c>
      <c r="Y27" s="164">
        <f t="shared" si="7"/>
        <v>0.33088235294117646</v>
      </c>
      <c r="Z27" s="144"/>
      <c r="AD27" s="153"/>
      <c r="AE27" s="144"/>
      <c r="AF27" s="144"/>
    </row>
    <row r="28" spans="1:32" s="100" customFormat="1">
      <c r="B28" s="100">
        <v>447</v>
      </c>
      <c r="C28" s="255" t="s">
        <v>876</v>
      </c>
      <c r="D28" s="101" t="str">
        <f t="shared" si="8"/>
        <v xml:space="preserve"> 369</v>
      </c>
      <c r="E28" s="291" t="s">
        <v>876</v>
      </c>
      <c r="F28" s="101">
        <f t="shared" si="9"/>
        <v>0</v>
      </c>
      <c r="G28" s="100" t="s">
        <v>65</v>
      </c>
      <c r="H28" s="101" t="str">
        <f t="shared" si="10"/>
        <v xml:space="preserve">LJC </v>
      </c>
      <c r="I28" s="100" t="s">
        <v>868</v>
      </c>
      <c r="J28" s="100" t="s">
        <v>782</v>
      </c>
      <c r="K28" s="218">
        <v>71000</v>
      </c>
      <c r="L28" s="135">
        <f t="shared" si="21"/>
        <v>6950</v>
      </c>
      <c r="M28" s="101" t="s">
        <v>69</v>
      </c>
      <c r="N28" s="103">
        <f>K28-O28</f>
        <v>64050</v>
      </c>
      <c r="O28" s="104">
        <f>2000+2850+800+300+1000</f>
        <v>6950</v>
      </c>
      <c r="P28" s="216">
        <f t="shared" si="2"/>
        <v>71000</v>
      </c>
      <c r="Q28" s="227"/>
      <c r="R28" s="100" t="s">
        <v>310</v>
      </c>
      <c r="S28" s="22">
        <v>3000</v>
      </c>
      <c r="T28" s="22">
        <f t="shared" si="3"/>
        <v>74000</v>
      </c>
      <c r="U28" s="22">
        <f t="shared" si="11"/>
        <v>105714.28571428572</v>
      </c>
      <c r="V28" s="23">
        <f t="shared" si="12"/>
        <v>120816.32653061226</v>
      </c>
      <c r="W28" s="24">
        <f t="shared" si="13"/>
        <v>0.12500000000000006</v>
      </c>
      <c r="X28" s="23">
        <f t="shared" si="14"/>
        <v>120900</v>
      </c>
      <c r="Y28" s="164">
        <f t="shared" si="7"/>
        <v>0.32837837837837847</v>
      </c>
      <c r="Z28" s="144"/>
      <c r="AD28" s="153"/>
      <c r="AE28" s="144"/>
      <c r="AF28" s="144"/>
    </row>
    <row r="29" spans="1:32" s="100" customFormat="1">
      <c r="B29" s="100">
        <v>448</v>
      </c>
      <c r="C29" s="100" t="s">
        <v>555</v>
      </c>
      <c r="D29" s="101" t="str">
        <f t="shared" si="8"/>
        <v xml:space="preserve"> 427</v>
      </c>
      <c r="E29" s="291" t="s">
        <v>555</v>
      </c>
      <c r="F29" s="101">
        <f t="shared" si="9"/>
        <v>0</v>
      </c>
      <c r="G29" s="100" t="s">
        <v>65</v>
      </c>
      <c r="H29" s="101" t="str">
        <f t="shared" si="10"/>
        <v xml:space="preserve">LTY </v>
      </c>
      <c r="I29" s="100" t="s">
        <v>868</v>
      </c>
      <c r="J29" s="100" t="s">
        <v>766</v>
      </c>
      <c r="K29" s="218">
        <v>72000</v>
      </c>
      <c r="L29" s="135">
        <f>K29-P29</f>
        <v>-6550</v>
      </c>
      <c r="M29" s="101" t="s">
        <v>67</v>
      </c>
      <c r="N29" s="217">
        <f t="shared" ref="N29:N30" si="24">K29</f>
        <v>72000</v>
      </c>
      <c r="O29" s="104">
        <f t="shared" si="23"/>
        <v>6550</v>
      </c>
      <c r="P29" s="104">
        <f t="shared" si="2"/>
        <v>78550</v>
      </c>
      <c r="Q29" s="226"/>
      <c r="R29" s="100" t="s">
        <v>300</v>
      </c>
      <c r="S29" s="22">
        <v>3000</v>
      </c>
      <c r="T29" s="22">
        <f t="shared" si="3"/>
        <v>81550</v>
      </c>
      <c r="U29" s="22">
        <f t="shared" si="11"/>
        <v>116500.00000000001</v>
      </c>
      <c r="V29" s="23">
        <f t="shared" si="12"/>
        <v>133142.85714285716</v>
      </c>
      <c r="W29" s="24">
        <f t="shared" si="13"/>
        <v>0.125</v>
      </c>
      <c r="X29" s="23">
        <f t="shared" si="14"/>
        <v>133200</v>
      </c>
      <c r="Y29" s="164">
        <f t="shared" si="7"/>
        <v>0.32575107296137346</v>
      </c>
      <c r="Z29" s="144"/>
      <c r="AD29" s="153"/>
      <c r="AE29" s="144"/>
      <c r="AF29" s="144"/>
    </row>
    <row r="30" spans="1:32" s="100" customFormat="1">
      <c r="B30" s="100">
        <v>449</v>
      </c>
      <c r="C30" s="100" t="s">
        <v>789</v>
      </c>
      <c r="D30" s="101" t="str">
        <f t="shared" si="8"/>
        <v xml:space="preserve"> 830</v>
      </c>
      <c r="E30" s="291" t="s">
        <v>789</v>
      </c>
      <c r="F30" s="101">
        <f t="shared" si="9"/>
        <v>0</v>
      </c>
      <c r="G30" s="100" t="s">
        <v>65</v>
      </c>
      <c r="H30" s="101" t="str">
        <f t="shared" si="10"/>
        <v xml:space="preserve">LTY </v>
      </c>
      <c r="I30" s="100" t="s">
        <v>868</v>
      </c>
      <c r="J30" s="100" t="s">
        <v>766</v>
      </c>
      <c r="K30" s="218">
        <v>75000</v>
      </c>
      <c r="L30" s="135">
        <f>K30-P30</f>
        <v>-5950</v>
      </c>
      <c r="M30" s="101" t="s">
        <v>67</v>
      </c>
      <c r="N30" s="217">
        <f t="shared" si="24"/>
        <v>75000</v>
      </c>
      <c r="O30" s="104">
        <f>2000+2850+800+300</f>
        <v>5950</v>
      </c>
      <c r="P30" s="104">
        <f t="shared" si="2"/>
        <v>80950</v>
      </c>
      <c r="Q30" s="226"/>
      <c r="R30" s="100" t="s">
        <v>327</v>
      </c>
      <c r="S30" s="22">
        <v>3000</v>
      </c>
      <c r="T30" s="22">
        <f t="shared" si="3"/>
        <v>83950</v>
      </c>
      <c r="U30" s="22">
        <f t="shared" si="11"/>
        <v>119928.57142857143</v>
      </c>
      <c r="V30" s="23">
        <f t="shared" si="12"/>
        <v>137061.22448979592</v>
      </c>
      <c r="W30" s="24">
        <f t="shared" si="13"/>
        <v>0.12499999999999994</v>
      </c>
      <c r="X30" s="23">
        <f t="shared" si="14"/>
        <v>137100</v>
      </c>
      <c r="Y30" s="164">
        <f t="shared" si="7"/>
        <v>0.3250148898153663</v>
      </c>
      <c r="Z30" s="144"/>
      <c r="AD30" s="153"/>
      <c r="AE30" s="144"/>
      <c r="AF30" s="144"/>
    </row>
    <row r="31" spans="1:32" s="100" customFormat="1">
      <c r="B31" s="100">
        <v>450</v>
      </c>
      <c r="C31" s="100" t="s">
        <v>799</v>
      </c>
      <c r="D31" s="101" t="str">
        <f t="shared" si="8"/>
        <v xml:space="preserve"> 460</v>
      </c>
      <c r="E31" s="291" t="s">
        <v>799</v>
      </c>
      <c r="F31" s="101">
        <f t="shared" si="9"/>
        <v>0</v>
      </c>
      <c r="G31" s="100" t="s">
        <v>68</v>
      </c>
      <c r="H31" s="101" t="str">
        <f t="shared" si="10"/>
        <v xml:space="preserve">LJC </v>
      </c>
      <c r="I31" s="100" t="s">
        <v>868</v>
      </c>
      <c r="J31" s="100" t="s">
        <v>782</v>
      </c>
      <c r="K31" s="218">
        <v>59000</v>
      </c>
      <c r="L31" s="135">
        <f t="shared" ref="L31:L37" si="25">K31-N31</f>
        <v>6950</v>
      </c>
      <c r="M31" s="101" t="s">
        <v>69</v>
      </c>
      <c r="N31" s="103">
        <f>K31-O31</f>
        <v>52050</v>
      </c>
      <c r="O31" s="104">
        <f>2000+2850+800+300+1000</f>
        <v>6950</v>
      </c>
      <c r="P31" s="209">
        <f t="shared" si="2"/>
        <v>59000</v>
      </c>
      <c r="Q31" s="227"/>
      <c r="R31" s="100" t="s">
        <v>310</v>
      </c>
      <c r="S31" s="22">
        <v>3000</v>
      </c>
      <c r="T31" s="22">
        <f t="shared" si="3"/>
        <v>62000</v>
      </c>
      <c r="U31" s="22">
        <f t="shared" si="11"/>
        <v>88571.42857142858</v>
      </c>
      <c r="V31" s="23">
        <f t="shared" si="12"/>
        <v>101224.48979591837</v>
      </c>
      <c r="W31" s="24">
        <f t="shared" si="13"/>
        <v>0.12499999999999996</v>
      </c>
      <c r="X31" s="23">
        <f t="shared" si="14"/>
        <v>101300</v>
      </c>
      <c r="Y31" s="164">
        <f t="shared" si="7"/>
        <v>0.33387096774193553</v>
      </c>
      <c r="Z31" s="244">
        <v>84286</v>
      </c>
      <c r="AA31" s="256">
        <f>U31-Z31</f>
        <v>4285.4285714285797</v>
      </c>
      <c r="AB31" s="189">
        <f>AA31/Z31</f>
        <v>5.0843895444422318E-2</v>
      </c>
      <c r="AD31" s="153"/>
      <c r="AE31" s="144"/>
      <c r="AF31" s="144"/>
    </row>
    <row r="32" spans="1:32" s="100" customFormat="1">
      <c r="A32" s="100" t="s">
        <v>855</v>
      </c>
      <c r="B32" s="100">
        <v>451</v>
      </c>
      <c r="C32" s="100" t="s">
        <v>556</v>
      </c>
      <c r="D32" s="101" t="str">
        <f t="shared" si="8"/>
        <v xml:space="preserve"> 216</v>
      </c>
      <c r="E32" s="291" t="s">
        <v>556</v>
      </c>
      <c r="F32" s="101">
        <f t="shared" si="9"/>
        <v>0</v>
      </c>
      <c r="G32" s="100" t="s">
        <v>65</v>
      </c>
      <c r="H32" s="101" t="str">
        <f t="shared" si="10"/>
        <v xml:space="preserve">LDT </v>
      </c>
      <c r="I32" s="100" t="s">
        <v>868</v>
      </c>
      <c r="J32" s="100" t="s">
        <v>557</v>
      </c>
      <c r="K32" s="241">
        <v>58000</v>
      </c>
      <c r="L32" s="135">
        <f t="shared" si="25"/>
        <v>0</v>
      </c>
      <c r="M32" s="101" t="s">
        <v>67</v>
      </c>
      <c r="N32" s="103">
        <f t="shared" ref="N32:N34" si="26">K32</f>
        <v>58000</v>
      </c>
      <c r="O32" s="104">
        <f>2000+2250+800+300</f>
        <v>5350</v>
      </c>
      <c r="P32" s="242">
        <f t="shared" si="2"/>
        <v>63350</v>
      </c>
      <c r="Q32" s="227" t="s">
        <v>777</v>
      </c>
      <c r="R32" s="100" t="s">
        <v>347</v>
      </c>
      <c r="S32" s="22">
        <v>3000</v>
      </c>
      <c r="T32" s="22">
        <f t="shared" si="3"/>
        <v>66350</v>
      </c>
      <c r="U32" s="22">
        <f t="shared" si="11"/>
        <v>94785.71428571429</v>
      </c>
      <c r="V32" s="23">
        <f t="shared" si="12"/>
        <v>108326.5306122449</v>
      </c>
      <c r="W32" s="24">
        <f t="shared" si="13"/>
        <v>0.12499999999999994</v>
      </c>
      <c r="X32" s="23">
        <f t="shared" si="14"/>
        <v>108400</v>
      </c>
      <c r="Y32" s="164">
        <f t="shared" si="7"/>
        <v>0.33165033911077624</v>
      </c>
      <c r="Z32" s="144"/>
      <c r="AD32" s="153"/>
      <c r="AE32" s="144"/>
      <c r="AF32" s="144"/>
    </row>
    <row r="33" spans="2:76" s="100" customFormat="1">
      <c r="B33" s="100">
        <v>452</v>
      </c>
      <c r="C33" s="100" t="s">
        <v>558</v>
      </c>
      <c r="D33" s="101" t="str">
        <f t="shared" si="8"/>
        <v xml:space="preserve"> 906</v>
      </c>
      <c r="E33" s="291" t="s">
        <v>558</v>
      </c>
      <c r="F33" s="101">
        <f t="shared" si="9"/>
        <v>0</v>
      </c>
      <c r="G33" s="100" t="s">
        <v>65</v>
      </c>
      <c r="H33" s="101" t="str">
        <f t="shared" si="10"/>
        <v xml:space="preserve">LTY </v>
      </c>
      <c r="I33" s="100" t="s">
        <v>868</v>
      </c>
      <c r="J33" s="100" t="s">
        <v>766</v>
      </c>
      <c r="K33" s="100">
        <v>47500</v>
      </c>
      <c r="L33" s="135">
        <f t="shared" si="25"/>
        <v>0</v>
      </c>
      <c r="M33" s="101" t="s">
        <v>67</v>
      </c>
      <c r="N33" s="103">
        <f t="shared" si="26"/>
        <v>47500</v>
      </c>
      <c r="O33" s="104">
        <f>2000+2250+800+300</f>
        <v>5350</v>
      </c>
      <c r="P33" s="105">
        <f t="shared" si="2"/>
        <v>52850</v>
      </c>
      <c r="Q33" s="226" t="s">
        <v>777</v>
      </c>
      <c r="R33" s="100" t="s">
        <v>349</v>
      </c>
      <c r="S33" s="22">
        <v>3000</v>
      </c>
      <c r="T33" s="22">
        <f t="shared" si="3"/>
        <v>55850</v>
      </c>
      <c r="U33" s="22">
        <f t="shared" si="11"/>
        <v>79785.71428571429</v>
      </c>
      <c r="V33" s="23">
        <f t="shared" si="12"/>
        <v>91183.673469387766</v>
      </c>
      <c r="W33" s="24">
        <f t="shared" si="13"/>
        <v>0.12500000000000006</v>
      </c>
      <c r="X33" s="23">
        <f t="shared" si="14"/>
        <v>91200</v>
      </c>
      <c r="Y33" s="164">
        <f t="shared" si="7"/>
        <v>0.33760071620411819</v>
      </c>
      <c r="Z33" s="144"/>
      <c r="AD33" s="153">
        <v>0.33</v>
      </c>
      <c r="AE33" s="144">
        <f>AVERAGE(U33,U32,U31,U30,U29,U28,U27,U26,U25,U24,U23,U22,U21,U20,U19,U18,U17,U16,U15,U14,U13,U12,U11,U10,U9,U8,U7,U6,U5)</f>
        <v>109004.92610837438</v>
      </c>
      <c r="AF33" s="28">
        <v>109205.16666666667</v>
      </c>
      <c r="AG33" s="180">
        <v>113610.38961038958</v>
      </c>
      <c r="AH33" s="181">
        <v>106751</v>
      </c>
      <c r="AI33" s="21">
        <v>-1.3159051739298586E-2</v>
      </c>
      <c r="AJ33" s="41">
        <v>92934</v>
      </c>
      <c r="AK33" s="180">
        <v>88677.14285714287</v>
      </c>
      <c r="AL33" s="180">
        <v>83073</v>
      </c>
      <c r="AM33" s="21">
        <v>4.8003995231497745E-2</v>
      </c>
      <c r="AN33" s="41">
        <v>96371</v>
      </c>
      <c r="AO33" s="180">
        <v>100790</v>
      </c>
      <c r="AP33" s="180">
        <v>93146</v>
      </c>
      <c r="AQ33" s="21">
        <v>-4.3843635281277903E-2</v>
      </c>
      <c r="AR33" s="44">
        <v>123340</v>
      </c>
      <c r="AS33" s="180">
        <v>107314.28571428572</v>
      </c>
      <c r="AT33" s="180">
        <v>109329</v>
      </c>
      <c r="AU33" s="21">
        <v>0.14933439829605952</v>
      </c>
      <c r="AV33" s="38">
        <v>104712</v>
      </c>
      <c r="AW33" s="180">
        <v>103571.42857142858</v>
      </c>
      <c r="AX33" s="180">
        <v>101507</v>
      </c>
      <c r="AY33" s="21">
        <v>1.1012413793103366E-2</v>
      </c>
      <c r="AZ33" s="57"/>
      <c r="BA33" s="29"/>
      <c r="BB33" s="29"/>
      <c r="BC33" s="30"/>
      <c r="BD33" s="44">
        <v>108894</v>
      </c>
      <c r="BE33" s="180">
        <v>118481</v>
      </c>
      <c r="BF33" s="180">
        <v>110764</v>
      </c>
      <c r="BG33" s="21">
        <v>-8.0915927448282854E-2</v>
      </c>
      <c r="BH33" s="44">
        <v>128980</v>
      </c>
      <c r="BI33" s="180">
        <v>123528.57142857143</v>
      </c>
      <c r="BJ33" s="180">
        <v>158467</v>
      </c>
      <c r="BK33" s="21">
        <v>4.4130912455186716E-2</v>
      </c>
      <c r="BL33" s="57"/>
      <c r="BM33" s="180">
        <v>109430</v>
      </c>
      <c r="BN33" s="180">
        <v>101417</v>
      </c>
      <c r="BO33" s="21">
        <v>7.9010422315785325E-2</v>
      </c>
      <c r="BP33" s="55"/>
      <c r="BQ33" s="29"/>
      <c r="BR33" s="29"/>
      <c r="BS33" s="30"/>
      <c r="BT33" s="55"/>
      <c r="BU33" s="180">
        <v>121404.28571428572</v>
      </c>
      <c r="BV33" s="180">
        <v>114180</v>
      </c>
      <c r="BW33" s="21">
        <v>6.3271025698771452E-2</v>
      </c>
      <c r="BX33" s="31"/>
    </row>
    <row r="34" spans="2:76" s="107" customFormat="1">
      <c r="B34" s="107">
        <v>453</v>
      </c>
      <c r="C34" s="107" t="s">
        <v>559</v>
      </c>
      <c r="D34" s="108" t="str">
        <f t="shared" si="8"/>
        <v xml:space="preserve"> 393</v>
      </c>
      <c r="E34" s="291" t="s">
        <v>559</v>
      </c>
      <c r="F34" s="101">
        <f t="shared" si="9"/>
        <v>0</v>
      </c>
      <c r="G34" s="107" t="s">
        <v>65</v>
      </c>
      <c r="H34" s="108" t="str">
        <f t="shared" si="10"/>
        <v xml:space="preserve">LAP </v>
      </c>
      <c r="I34" s="107" t="s">
        <v>866</v>
      </c>
      <c r="J34" s="107" t="s">
        <v>767</v>
      </c>
      <c r="K34" s="218">
        <v>65000</v>
      </c>
      <c r="L34" s="136">
        <f t="shared" si="25"/>
        <v>0</v>
      </c>
      <c r="M34" s="108" t="s">
        <v>67</v>
      </c>
      <c r="N34" s="217">
        <f t="shared" si="26"/>
        <v>65000</v>
      </c>
      <c r="O34" s="111">
        <f>2000+2250+800+300+1000</f>
        <v>6350</v>
      </c>
      <c r="P34" s="112">
        <f t="shared" si="2"/>
        <v>71350</v>
      </c>
      <c r="Q34" s="228"/>
      <c r="R34" s="107" t="s">
        <v>347</v>
      </c>
      <c r="S34" s="22">
        <v>1000</v>
      </c>
      <c r="T34" s="22">
        <f t="shared" si="3"/>
        <v>72350</v>
      </c>
      <c r="U34" s="22">
        <f t="shared" si="11"/>
        <v>103357.14285714287</v>
      </c>
      <c r="V34" s="23">
        <f t="shared" si="12"/>
        <v>118122.44897959185</v>
      </c>
      <c r="W34" s="24">
        <f t="shared" si="13"/>
        <v>0.12499999999999999</v>
      </c>
      <c r="X34" s="23">
        <f t="shared" si="14"/>
        <v>118200</v>
      </c>
      <c r="Y34" s="164">
        <f t="shared" si="7"/>
        <v>0.30967519004837601</v>
      </c>
      <c r="Z34" s="145"/>
      <c r="AD34" s="154"/>
      <c r="AE34" s="145"/>
      <c r="AF34" s="145"/>
    </row>
    <row r="35" spans="2:76" s="107" customFormat="1">
      <c r="B35" s="107">
        <v>454</v>
      </c>
      <c r="C35" s="107" t="s">
        <v>800</v>
      </c>
      <c r="D35" s="108" t="str">
        <f t="shared" si="8"/>
        <v xml:space="preserve"> 930</v>
      </c>
      <c r="E35" s="291" t="s">
        <v>800</v>
      </c>
      <c r="F35" s="101">
        <f t="shared" si="9"/>
        <v>0</v>
      </c>
      <c r="G35" s="107" t="s">
        <v>68</v>
      </c>
      <c r="H35" s="108" t="str">
        <f t="shared" si="10"/>
        <v xml:space="preserve">LBA </v>
      </c>
      <c r="I35" s="107" t="s">
        <v>866</v>
      </c>
      <c r="J35" s="107" t="s">
        <v>761</v>
      </c>
      <c r="K35" s="218">
        <v>42250</v>
      </c>
      <c r="L35" s="136">
        <f t="shared" si="25"/>
        <v>3320</v>
      </c>
      <c r="M35" s="108" t="s">
        <v>69</v>
      </c>
      <c r="N35" s="110">
        <f>K35-O35</f>
        <v>38930</v>
      </c>
      <c r="O35" s="110">
        <f>2000+220+800+300</f>
        <v>3320</v>
      </c>
      <c r="P35" s="220">
        <f>O35+N35</f>
        <v>42250</v>
      </c>
      <c r="Q35" s="228"/>
      <c r="R35" s="107" t="s">
        <v>349</v>
      </c>
      <c r="S35" s="22">
        <v>1000</v>
      </c>
      <c r="T35" s="22">
        <f t="shared" si="3"/>
        <v>43250</v>
      </c>
      <c r="U35" s="22">
        <f t="shared" si="11"/>
        <v>61785.71428571429</v>
      </c>
      <c r="V35" s="23">
        <f t="shared" si="12"/>
        <v>70612.244897959186</v>
      </c>
      <c r="W35" s="24">
        <f t="shared" si="13"/>
        <v>0.12499999999999997</v>
      </c>
      <c r="X35" s="23">
        <f t="shared" si="14"/>
        <v>70700</v>
      </c>
      <c r="Y35" s="164">
        <f t="shared" si="7"/>
        <v>0.31618497109826593</v>
      </c>
      <c r="Z35" s="244">
        <v>60143</v>
      </c>
      <c r="AA35" s="256">
        <f>U35-Z35</f>
        <v>1642.7142857142899</v>
      </c>
      <c r="AB35" s="189">
        <f>AA35/Z35</f>
        <v>2.7313474314787919E-2</v>
      </c>
      <c r="AD35" s="154"/>
      <c r="AE35" s="145"/>
      <c r="AF35" s="145"/>
    </row>
    <row r="36" spans="2:76" s="107" customFormat="1">
      <c r="B36" s="107">
        <v>455</v>
      </c>
      <c r="C36" s="107" t="s">
        <v>560</v>
      </c>
      <c r="D36" s="108" t="str">
        <f t="shared" si="8"/>
        <v xml:space="preserve"> 895</v>
      </c>
      <c r="E36" s="291" t="s">
        <v>560</v>
      </c>
      <c r="F36" s="101">
        <f t="shared" si="9"/>
        <v>0</v>
      </c>
      <c r="G36" s="107" t="s">
        <v>65</v>
      </c>
      <c r="H36" s="108" t="str">
        <f t="shared" si="10"/>
        <v xml:space="preserve">LAP </v>
      </c>
      <c r="I36" s="107" t="s">
        <v>866</v>
      </c>
      <c r="J36" s="107" t="s">
        <v>767</v>
      </c>
      <c r="K36" s="218">
        <v>63000</v>
      </c>
      <c r="L36" s="136">
        <f t="shared" si="25"/>
        <v>0</v>
      </c>
      <c r="M36" s="108" t="s">
        <v>67</v>
      </c>
      <c r="N36" s="217">
        <f>K36</f>
        <v>63000</v>
      </c>
      <c r="O36" s="111">
        <f>2000+2250+800+300+1000</f>
        <v>6350</v>
      </c>
      <c r="P36" s="112">
        <f>N36+O36</f>
        <v>69350</v>
      </c>
      <c r="Q36" s="228"/>
      <c r="R36" s="107" t="s">
        <v>347</v>
      </c>
      <c r="S36" s="22">
        <v>1000</v>
      </c>
      <c r="T36" s="22">
        <f t="shared" si="3"/>
        <v>70350</v>
      </c>
      <c r="U36" s="22">
        <f t="shared" si="11"/>
        <v>100500</v>
      </c>
      <c r="V36" s="23">
        <f t="shared" si="12"/>
        <v>114857.14285714286</v>
      </c>
      <c r="W36" s="24">
        <f t="shared" si="13"/>
        <v>0.12499999999999999</v>
      </c>
      <c r="X36" s="23">
        <f t="shared" si="14"/>
        <v>114900</v>
      </c>
      <c r="Y36" s="164">
        <f t="shared" si="7"/>
        <v>0.3099502487562189</v>
      </c>
      <c r="Z36" s="145"/>
      <c r="AD36" s="154"/>
      <c r="AE36" s="145"/>
      <c r="AF36" s="145"/>
    </row>
    <row r="37" spans="2:76" s="107" customFormat="1">
      <c r="B37" s="107">
        <v>456</v>
      </c>
      <c r="C37" s="107" t="s">
        <v>801</v>
      </c>
      <c r="D37" s="108" t="str">
        <f t="shared" si="8"/>
        <v xml:space="preserve"> 860</v>
      </c>
      <c r="E37" s="291" t="s">
        <v>801</v>
      </c>
      <c r="F37" s="101">
        <f t="shared" si="9"/>
        <v>0</v>
      </c>
      <c r="G37" s="107" t="s">
        <v>68</v>
      </c>
      <c r="H37" s="108" t="str">
        <f t="shared" si="10"/>
        <v xml:space="preserve">LBA </v>
      </c>
      <c r="I37" s="107" t="s">
        <v>866</v>
      </c>
      <c r="J37" s="107" t="s">
        <v>761</v>
      </c>
      <c r="K37" s="218">
        <v>42250</v>
      </c>
      <c r="L37" s="136">
        <f t="shared" si="25"/>
        <v>3320</v>
      </c>
      <c r="M37" s="108" t="s">
        <v>69</v>
      </c>
      <c r="N37" s="110">
        <f>K37-O37</f>
        <v>38930</v>
      </c>
      <c r="O37" s="110">
        <f>2000+220+800+300</f>
        <v>3320</v>
      </c>
      <c r="P37" s="220">
        <f>N37+O37</f>
        <v>42250</v>
      </c>
      <c r="Q37" s="228"/>
      <c r="R37" s="107" t="s">
        <v>349</v>
      </c>
      <c r="S37" s="22">
        <v>1000</v>
      </c>
      <c r="T37" s="22">
        <f t="shared" ref="T37:T68" si="27">S37+P37</f>
        <v>43250</v>
      </c>
      <c r="U37" s="22">
        <f t="shared" si="11"/>
        <v>61785.71428571429</v>
      </c>
      <c r="V37" s="23">
        <f t="shared" si="12"/>
        <v>70612.244897959186</v>
      </c>
      <c r="W37" s="24">
        <f t="shared" si="13"/>
        <v>0.12499999999999997</v>
      </c>
      <c r="X37" s="23">
        <f t="shared" si="14"/>
        <v>70700</v>
      </c>
      <c r="Y37" s="164">
        <f t="shared" ref="Y37:Y68" si="28">(U37-P37)/U37</f>
        <v>0.31618497109826593</v>
      </c>
      <c r="Z37" s="244">
        <v>60143</v>
      </c>
      <c r="AA37" s="256">
        <f t="shared" ref="AA37:AA40" si="29">U37-Z37</f>
        <v>1642.7142857142899</v>
      </c>
      <c r="AB37" s="189">
        <f t="shared" ref="AB37:AB40" si="30">AA37/Z37</f>
        <v>2.7313474314787919E-2</v>
      </c>
      <c r="AD37" s="154"/>
      <c r="AE37" s="145"/>
      <c r="AF37" s="145"/>
    </row>
    <row r="38" spans="2:76" s="107" customFormat="1">
      <c r="B38" s="107">
        <v>457</v>
      </c>
      <c r="C38" s="107" t="s">
        <v>803</v>
      </c>
      <c r="D38" s="108" t="str">
        <f t="shared" si="8"/>
        <v xml:space="preserve"> 544</v>
      </c>
      <c r="E38" s="291" t="s">
        <v>803</v>
      </c>
      <c r="F38" s="101">
        <f t="shared" si="9"/>
        <v>0</v>
      </c>
      <c r="G38" s="107" t="s">
        <v>68</v>
      </c>
      <c r="H38" s="108" t="str">
        <f t="shared" si="10"/>
        <v xml:space="preserve">LNF </v>
      </c>
      <c r="I38" s="107" t="s">
        <v>866</v>
      </c>
      <c r="J38" s="107" t="s">
        <v>763</v>
      </c>
      <c r="K38" s="221">
        <v>38000</v>
      </c>
      <c r="L38" s="136">
        <f>K38-P38</f>
        <v>-5750</v>
      </c>
      <c r="M38" s="108" t="s">
        <v>67</v>
      </c>
      <c r="N38" s="222">
        <f t="shared" ref="N38:N39" si="31">K38</f>
        <v>38000</v>
      </c>
      <c r="O38" s="110">
        <f>2000+1750+800+200+1000</f>
        <v>5750</v>
      </c>
      <c r="P38" s="111">
        <f>N38+O38</f>
        <v>43750</v>
      </c>
      <c r="Q38" s="228"/>
      <c r="R38" s="107" t="s">
        <v>381</v>
      </c>
      <c r="S38" s="22">
        <v>1000</v>
      </c>
      <c r="T38" s="22">
        <f t="shared" si="27"/>
        <v>44750</v>
      </c>
      <c r="U38" s="22">
        <f t="shared" si="11"/>
        <v>63928.571428571435</v>
      </c>
      <c r="V38" s="23">
        <f t="shared" si="12"/>
        <v>73061.224489795932</v>
      </c>
      <c r="W38" s="24">
        <f t="shared" si="13"/>
        <v>0.12500000000000008</v>
      </c>
      <c r="X38" s="23">
        <f t="shared" si="14"/>
        <v>73100</v>
      </c>
      <c r="Y38" s="164">
        <f t="shared" si="28"/>
        <v>0.31564245810055874</v>
      </c>
      <c r="Z38" s="244">
        <v>61857</v>
      </c>
      <c r="AA38" s="256">
        <f t="shared" si="29"/>
        <v>2071.5714285714348</v>
      </c>
      <c r="AB38" s="189">
        <f t="shared" si="30"/>
        <v>3.3489684733683085E-2</v>
      </c>
      <c r="AD38" s="154"/>
      <c r="AE38" s="145"/>
      <c r="AF38" s="145"/>
    </row>
    <row r="39" spans="2:76" s="107" customFormat="1">
      <c r="B39" s="107">
        <v>458</v>
      </c>
      <c r="C39" s="107" t="s">
        <v>802</v>
      </c>
      <c r="D39" s="108" t="str">
        <f t="shared" si="8"/>
        <v xml:space="preserve"> 411</v>
      </c>
      <c r="E39" s="291" t="s">
        <v>802</v>
      </c>
      <c r="F39" s="101">
        <f t="shared" si="9"/>
        <v>0</v>
      </c>
      <c r="G39" s="107" t="s">
        <v>68</v>
      </c>
      <c r="H39" s="108" t="str">
        <f t="shared" si="10"/>
        <v xml:space="preserve">LNF </v>
      </c>
      <c r="I39" s="107" t="s">
        <v>866</v>
      </c>
      <c r="J39" s="107" t="s">
        <v>763</v>
      </c>
      <c r="K39" s="221">
        <v>34000</v>
      </c>
      <c r="L39" s="136">
        <f>K39-N39</f>
        <v>0</v>
      </c>
      <c r="M39" s="108" t="s">
        <v>67</v>
      </c>
      <c r="N39" s="222">
        <f t="shared" si="31"/>
        <v>34000</v>
      </c>
      <c r="O39" s="110">
        <f>2000+1750+800+200</f>
        <v>4750</v>
      </c>
      <c r="P39" s="112">
        <f>O39+N39</f>
        <v>38750</v>
      </c>
      <c r="Q39" s="228"/>
      <c r="R39" s="107" t="s">
        <v>561</v>
      </c>
      <c r="S39" s="22">
        <v>1000</v>
      </c>
      <c r="T39" s="22">
        <f t="shared" si="27"/>
        <v>39750</v>
      </c>
      <c r="U39" s="22">
        <f t="shared" si="11"/>
        <v>56785.71428571429</v>
      </c>
      <c r="V39" s="23">
        <f t="shared" si="12"/>
        <v>64897.959183673476</v>
      </c>
      <c r="W39" s="24">
        <f t="shared" si="13"/>
        <v>0.12500000000000003</v>
      </c>
      <c r="X39" s="23">
        <f t="shared" si="14"/>
        <v>64900</v>
      </c>
      <c r="Y39" s="164">
        <f t="shared" si="28"/>
        <v>0.3176100628930818</v>
      </c>
      <c r="Z39" s="244">
        <v>54714</v>
      </c>
      <c r="AA39" s="256">
        <f t="shared" si="29"/>
        <v>2071.7142857142899</v>
      </c>
      <c r="AB39" s="189">
        <f t="shared" si="30"/>
        <v>3.7864427490483056E-2</v>
      </c>
      <c r="AD39" s="154"/>
      <c r="AE39" s="145"/>
      <c r="AF39" s="145"/>
    </row>
    <row r="40" spans="2:76" s="107" customFormat="1">
      <c r="B40" s="107">
        <v>459</v>
      </c>
      <c r="C40" s="107" t="s">
        <v>804</v>
      </c>
      <c r="D40" s="108" t="str">
        <f t="shared" si="8"/>
        <v xml:space="preserve"> 431</v>
      </c>
      <c r="E40" s="291" t="s">
        <v>804</v>
      </c>
      <c r="F40" s="101">
        <f t="shared" si="9"/>
        <v>0</v>
      </c>
      <c r="G40" s="107" t="s">
        <v>68</v>
      </c>
      <c r="H40" s="108" t="str">
        <f t="shared" si="10"/>
        <v xml:space="preserve">LEO </v>
      </c>
      <c r="I40" s="107" t="s">
        <v>866</v>
      </c>
      <c r="J40" s="107" t="s">
        <v>778</v>
      </c>
      <c r="K40" s="109">
        <v>45000</v>
      </c>
      <c r="L40" s="136">
        <f>K40-N40</f>
        <v>5500</v>
      </c>
      <c r="M40" s="108" t="s">
        <v>69</v>
      </c>
      <c r="N40" s="110">
        <f>K40-O40</f>
        <v>39500</v>
      </c>
      <c r="O40" s="110">
        <f>2000+1750+800+300+650</f>
        <v>5500</v>
      </c>
      <c r="P40" s="112">
        <f t="shared" ref="P40:P45" si="32">N40+O40</f>
        <v>45000</v>
      </c>
      <c r="Q40" s="228" t="s">
        <v>777</v>
      </c>
      <c r="R40" s="107" t="s">
        <v>376</v>
      </c>
      <c r="S40" s="22">
        <v>1000</v>
      </c>
      <c r="T40" s="22">
        <f t="shared" si="27"/>
        <v>46000</v>
      </c>
      <c r="U40" s="22">
        <f t="shared" si="11"/>
        <v>65714.285714285725</v>
      </c>
      <c r="V40" s="23">
        <f t="shared" si="12"/>
        <v>75102.040816326538</v>
      </c>
      <c r="W40" s="24">
        <f t="shared" si="13"/>
        <v>0.12499999999999996</v>
      </c>
      <c r="X40" s="23">
        <f t="shared" si="14"/>
        <v>75200</v>
      </c>
      <c r="Y40" s="164">
        <f t="shared" si="28"/>
        <v>0.31521739130434795</v>
      </c>
      <c r="Z40" s="244">
        <v>62857</v>
      </c>
      <c r="AA40" s="256">
        <f t="shared" si="29"/>
        <v>2857.2857142857247</v>
      </c>
      <c r="AB40" s="189">
        <f t="shared" si="30"/>
        <v>4.5456921493003559E-2</v>
      </c>
      <c r="AD40" s="154"/>
      <c r="AE40" s="145"/>
      <c r="AF40" s="145"/>
    </row>
    <row r="41" spans="2:76" s="107" customFormat="1">
      <c r="B41" s="107">
        <v>460</v>
      </c>
      <c r="C41" s="107" t="s">
        <v>562</v>
      </c>
      <c r="D41" s="108" t="str">
        <f t="shared" si="8"/>
        <v xml:space="preserve"> 334</v>
      </c>
      <c r="E41" s="291" t="s">
        <v>562</v>
      </c>
      <c r="F41" s="101">
        <f t="shared" si="9"/>
        <v>0</v>
      </c>
      <c r="G41" s="107" t="s">
        <v>65</v>
      </c>
      <c r="H41" s="108" t="str">
        <f t="shared" si="10"/>
        <v xml:space="preserve">LNF </v>
      </c>
      <c r="I41" s="107" t="s">
        <v>866</v>
      </c>
      <c r="J41" s="107" t="s">
        <v>763</v>
      </c>
      <c r="K41" s="221">
        <v>34000</v>
      </c>
      <c r="L41" s="136">
        <f>K41-P41</f>
        <v>-4850</v>
      </c>
      <c r="M41" s="108" t="s">
        <v>67</v>
      </c>
      <c r="N41" s="222">
        <f t="shared" ref="N41:N44" si="33">K41</f>
        <v>34000</v>
      </c>
      <c r="O41" s="110">
        <f>2000+1750+800+300</f>
        <v>4850</v>
      </c>
      <c r="P41" s="111">
        <f t="shared" si="32"/>
        <v>38850</v>
      </c>
      <c r="Q41" s="228"/>
      <c r="R41" s="107" t="s">
        <v>374</v>
      </c>
      <c r="S41" s="22">
        <v>1000</v>
      </c>
      <c r="T41" s="22">
        <f t="shared" si="27"/>
        <v>39850</v>
      </c>
      <c r="U41" s="22">
        <f t="shared" si="11"/>
        <v>56928.571428571435</v>
      </c>
      <c r="V41" s="23">
        <f t="shared" si="12"/>
        <v>65061.224489795924</v>
      </c>
      <c r="W41" s="24">
        <f t="shared" si="13"/>
        <v>0.12499999999999999</v>
      </c>
      <c r="X41" s="23">
        <f t="shared" si="14"/>
        <v>65100</v>
      </c>
      <c r="Y41" s="164">
        <f t="shared" si="28"/>
        <v>0.31756587202007536</v>
      </c>
      <c r="Z41" s="145"/>
      <c r="AD41" s="154"/>
      <c r="AE41" s="145"/>
      <c r="AF41" s="145"/>
    </row>
    <row r="42" spans="2:76" s="113" customFormat="1">
      <c r="B42" s="107">
        <v>461</v>
      </c>
      <c r="C42" s="113" t="s">
        <v>825</v>
      </c>
      <c r="D42" s="114" t="str">
        <f>REPLACE(C42,1,3, )</f>
        <v xml:space="preserve"> 754</v>
      </c>
      <c r="E42" s="291" t="s">
        <v>825</v>
      </c>
      <c r="F42" s="101">
        <f>IF(E42=C42,0,1)</f>
        <v>0</v>
      </c>
      <c r="G42" s="113" t="s">
        <v>65</v>
      </c>
      <c r="H42" s="114" t="str">
        <f>REPLACE(C42,5,3, )</f>
        <v xml:space="preserve">LSR </v>
      </c>
      <c r="I42" s="113" t="s">
        <v>867</v>
      </c>
      <c r="J42" s="100" t="s">
        <v>785</v>
      </c>
      <c r="K42" s="218">
        <v>68000</v>
      </c>
      <c r="L42" s="137">
        <f>K42-N42</f>
        <v>7200</v>
      </c>
      <c r="M42" s="114" t="s">
        <v>69</v>
      </c>
      <c r="N42" s="115">
        <f>K42-O42</f>
        <v>60800</v>
      </c>
      <c r="O42" s="115">
        <f>2000+3450+800+300+650</f>
        <v>7200</v>
      </c>
      <c r="P42" s="219">
        <f>N42+O42</f>
        <v>68000</v>
      </c>
      <c r="Q42" s="229" t="s">
        <v>783</v>
      </c>
      <c r="R42" s="113" t="s">
        <v>293</v>
      </c>
      <c r="S42" s="22">
        <v>4000</v>
      </c>
      <c r="T42" s="22">
        <f>S42+P42</f>
        <v>72000</v>
      </c>
      <c r="U42" s="22">
        <f>T42/0.7</f>
        <v>102857.14285714287</v>
      </c>
      <c r="V42" s="23">
        <f>U42/0.875</f>
        <v>117551.02040816328</v>
      </c>
      <c r="W42" s="24">
        <f>(V42-U42)/V42</f>
        <v>0.12500000000000003</v>
      </c>
      <c r="X42" s="23">
        <f>(ROUNDUP((V42/100),0))*100</f>
        <v>117600</v>
      </c>
      <c r="Y42" s="164">
        <f>(U42-P42)/U42</f>
        <v>0.33888888888888896</v>
      </c>
      <c r="Z42" s="146"/>
      <c r="AD42" s="155"/>
      <c r="AE42" s="146"/>
      <c r="AF42" s="146"/>
    </row>
    <row r="43" spans="2:76" s="113" customFormat="1">
      <c r="B43" s="107">
        <v>462</v>
      </c>
      <c r="C43" s="113" t="s">
        <v>569</v>
      </c>
      <c r="D43" s="114" t="str">
        <f>REPLACE(C43,1,3, )</f>
        <v xml:space="preserve"> 430</v>
      </c>
      <c r="E43" s="291" t="s">
        <v>569</v>
      </c>
      <c r="F43" s="101">
        <f>IF(E43=C43,0,1)</f>
        <v>0</v>
      </c>
      <c r="G43" s="113" t="s">
        <v>65</v>
      </c>
      <c r="H43" s="114" t="str">
        <f>REPLACE(C43,5,3, )</f>
        <v xml:space="preserve">LAP </v>
      </c>
      <c r="I43" s="113" t="s">
        <v>867</v>
      </c>
      <c r="J43" s="107" t="s">
        <v>767</v>
      </c>
      <c r="K43" s="218">
        <v>67000</v>
      </c>
      <c r="L43" s="137">
        <f>K43-N43</f>
        <v>0</v>
      </c>
      <c r="M43" s="114" t="s">
        <v>67</v>
      </c>
      <c r="N43" s="217">
        <f>K43</f>
        <v>67000</v>
      </c>
      <c r="O43" s="115">
        <f>2000+3450+800+300+650</f>
        <v>7200</v>
      </c>
      <c r="P43" s="117">
        <f>O43+N43</f>
        <v>74200</v>
      </c>
      <c r="Q43" s="229"/>
      <c r="R43" s="113" t="s">
        <v>293</v>
      </c>
      <c r="S43" s="22">
        <v>4000</v>
      </c>
      <c r="T43" s="22">
        <f>S43+P43</f>
        <v>78200</v>
      </c>
      <c r="U43" s="22">
        <f>T43/0.7</f>
        <v>111714.28571428572</v>
      </c>
      <c r="V43" s="23">
        <f>U43/0.875</f>
        <v>127673.46938775512</v>
      </c>
      <c r="W43" s="24">
        <f>(V43-U43)/V43</f>
        <v>0.12500000000000003</v>
      </c>
      <c r="X43" s="23">
        <f>(ROUNDUP((V43/100),0))*100</f>
        <v>127700</v>
      </c>
      <c r="Y43" s="164">
        <f>(U43-P43)/U43</f>
        <v>0.33580562659846552</v>
      </c>
      <c r="Z43" s="146"/>
      <c r="AD43" s="155"/>
      <c r="AE43" s="146"/>
      <c r="AF43" s="146"/>
    </row>
    <row r="44" spans="2:76" s="107" customFormat="1">
      <c r="B44" s="107">
        <v>463</v>
      </c>
      <c r="C44" s="107" t="s">
        <v>563</v>
      </c>
      <c r="D44" s="108" t="str">
        <f t="shared" si="8"/>
        <v xml:space="preserve"> 262</v>
      </c>
      <c r="E44" s="291" t="s">
        <v>563</v>
      </c>
      <c r="F44" s="101">
        <f t="shared" si="9"/>
        <v>0</v>
      </c>
      <c r="G44" s="107" t="s">
        <v>65</v>
      </c>
      <c r="H44" s="108" t="str">
        <f t="shared" si="10"/>
        <v xml:space="preserve">LGI </v>
      </c>
      <c r="I44" s="107" t="s">
        <v>866</v>
      </c>
      <c r="J44" s="107" t="s">
        <v>752</v>
      </c>
      <c r="K44" s="218">
        <v>36000</v>
      </c>
      <c r="L44" s="136">
        <f>K44-N44</f>
        <v>0</v>
      </c>
      <c r="M44" s="108" t="s">
        <v>67</v>
      </c>
      <c r="N44" s="217">
        <f t="shared" si="33"/>
        <v>36000</v>
      </c>
      <c r="O44" s="110">
        <f>2000+1750+800+300</f>
        <v>4850</v>
      </c>
      <c r="P44" s="112">
        <f t="shared" si="32"/>
        <v>40850</v>
      </c>
      <c r="Q44" s="228"/>
      <c r="R44" s="107" t="s">
        <v>374</v>
      </c>
      <c r="S44" s="22">
        <v>1000</v>
      </c>
      <c r="T44" s="22">
        <f t="shared" si="27"/>
        <v>41850</v>
      </c>
      <c r="U44" s="22">
        <f t="shared" si="11"/>
        <v>59785.71428571429</v>
      </c>
      <c r="V44" s="23">
        <f t="shared" si="12"/>
        <v>68326.530612244896</v>
      </c>
      <c r="W44" s="24">
        <f t="shared" si="13"/>
        <v>0.12499999999999992</v>
      </c>
      <c r="X44" s="23">
        <f t="shared" si="14"/>
        <v>68400</v>
      </c>
      <c r="Y44" s="164">
        <f t="shared" si="28"/>
        <v>0.31672640382317807</v>
      </c>
      <c r="Z44" s="145"/>
      <c r="AD44" s="154"/>
      <c r="AE44" s="145"/>
      <c r="AF44" s="145"/>
    </row>
    <row r="45" spans="2:76" s="113" customFormat="1">
      <c r="B45" s="107">
        <v>464</v>
      </c>
      <c r="C45" s="113" t="s">
        <v>566</v>
      </c>
      <c r="D45" s="114" t="str">
        <f t="shared" si="8"/>
        <v xml:space="preserve"> 463</v>
      </c>
      <c r="E45" s="291" t="s">
        <v>566</v>
      </c>
      <c r="F45" s="101">
        <f t="shared" si="9"/>
        <v>0</v>
      </c>
      <c r="G45" s="113" t="s">
        <v>65</v>
      </c>
      <c r="H45" s="114" t="str">
        <f t="shared" si="10"/>
        <v xml:space="preserve">LKN </v>
      </c>
      <c r="I45" s="113" t="s">
        <v>867</v>
      </c>
      <c r="J45" s="113" t="s">
        <v>758</v>
      </c>
      <c r="K45" s="218">
        <v>45000</v>
      </c>
      <c r="L45" s="137">
        <f>K45-P45</f>
        <v>-6350</v>
      </c>
      <c r="M45" s="114" t="s">
        <v>67</v>
      </c>
      <c r="N45" s="217">
        <f t="shared" ref="N45:N80" si="34">K45</f>
        <v>45000</v>
      </c>
      <c r="O45" s="115">
        <f>2000+2850+800+200+500</f>
        <v>6350</v>
      </c>
      <c r="P45" s="116">
        <f t="shared" si="32"/>
        <v>51350</v>
      </c>
      <c r="Q45" s="229"/>
      <c r="R45" s="113" t="s">
        <v>567</v>
      </c>
      <c r="S45" s="22">
        <v>4000</v>
      </c>
      <c r="T45" s="22">
        <f t="shared" si="27"/>
        <v>55350</v>
      </c>
      <c r="U45" s="22">
        <f t="shared" si="11"/>
        <v>79071.42857142858</v>
      </c>
      <c r="V45" s="23">
        <f t="shared" si="12"/>
        <v>90367.346938775518</v>
      </c>
      <c r="W45" s="24">
        <f t="shared" si="13"/>
        <v>0.12499999999999999</v>
      </c>
      <c r="X45" s="23">
        <f t="shared" si="14"/>
        <v>90400</v>
      </c>
      <c r="Y45" s="164">
        <f t="shared" si="28"/>
        <v>0.35058717253839211</v>
      </c>
      <c r="Z45" s="146"/>
      <c r="AD45" s="155"/>
      <c r="AE45" s="146"/>
      <c r="AF45" s="146"/>
    </row>
    <row r="46" spans="2:76" s="113" customFormat="1">
      <c r="B46" s="107">
        <v>465</v>
      </c>
      <c r="C46" s="113" t="s">
        <v>568</v>
      </c>
      <c r="D46" s="114" t="str">
        <f t="shared" si="8"/>
        <v xml:space="preserve"> 300</v>
      </c>
      <c r="E46" s="291" t="s">
        <v>568</v>
      </c>
      <c r="F46" s="101">
        <f t="shared" si="9"/>
        <v>0</v>
      </c>
      <c r="G46" s="113" t="s">
        <v>65</v>
      </c>
      <c r="H46" s="114" t="str">
        <f t="shared" si="10"/>
        <v xml:space="preserve">LFK </v>
      </c>
      <c r="I46" s="113" t="s">
        <v>867</v>
      </c>
      <c r="J46" s="113" t="s">
        <v>754</v>
      </c>
      <c r="K46" s="218">
        <v>63500</v>
      </c>
      <c r="L46" s="137">
        <f>K46-N46</f>
        <v>0</v>
      </c>
      <c r="M46" s="114" t="s">
        <v>67</v>
      </c>
      <c r="N46" s="217">
        <f t="shared" si="34"/>
        <v>63500</v>
      </c>
      <c r="O46" s="115">
        <f>2000+3450+800+300+1000</f>
        <v>7550</v>
      </c>
      <c r="P46" s="117">
        <f>O46+N46</f>
        <v>71050</v>
      </c>
      <c r="Q46" s="229"/>
      <c r="R46" s="113" t="s">
        <v>296</v>
      </c>
      <c r="S46" s="22">
        <v>4000</v>
      </c>
      <c r="T46" s="22">
        <f t="shared" si="27"/>
        <v>75050</v>
      </c>
      <c r="U46" s="22">
        <f t="shared" si="11"/>
        <v>107214.28571428572</v>
      </c>
      <c r="V46" s="23">
        <f t="shared" si="12"/>
        <v>122530.61224489797</v>
      </c>
      <c r="W46" s="24">
        <f t="shared" si="13"/>
        <v>0.12500000000000003</v>
      </c>
      <c r="X46" s="23">
        <f t="shared" si="14"/>
        <v>122600</v>
      </c>
      <c r="Y46" s="164">
        <f t="shared" si="28"/>
        <v>0.33730846102598272</v>
      </c>
      <c r="Z46" s="146"/>
      <c r="AD46" s="155"/>
      <c r="AE46" s="146"/>
      <c r="AF46" s="146"/>
    </row>
    <row r="47" spans="2:76" s="107" customFormat="1">
      <c r="B47" s="107">
        <v>466</v>
      </c>
      <c r="C47" s="107" t="s">
        <v>564</v>
      </c>
      <c r="D47" s="108" t="str">
        <f>REPLACE(C47,1,3, )</f>
        <v xml:space="preserve"> 659</v>
      </c>
      <c r="E47" s="291" t="s">
        <v>564</v>
      </c>
      <c r="F47" s="101">
        <f>IF(E47=C47,0,1)</f>
        <v>0</v>
      </c>
      <c r="G47" s="107" t="s">
        <v>65</v>
      </c>
      <c r="H47" s="108" t="str">
        <f>REPLACE(C47,5,3, )</f>
        <v xml:space="preserve">LGI </v>
      </c>
      <c r="I47" s="107" t="s">
        <v>866</v>
      </c>
      <c r="J47" s="107" t="s">
        <v>752</v>
      </c>
      <c r="K47" s="218">
        <v>35000</v>
      </c>
      <c r="L47" s="136">
        <f>K47-P47</f>
        <v>-5500</v>
      </c>
      <c r="M47" s="108" t="s">
        <v>67</v>
      </c>
      <c r="N47" s="217">
        <f>K47</f>
        <v>35000</v>
      </c>
      <c r="O47" s="110">
        <f>2000+1750+800+300+650</f>
        <v>5500</v>
      </c>
      <c r="P47" s="111">
        <f>N47+O47</f>
        <v>40500</v>
      </c>
      <c r="Q47" s="228"/>
      <c r="R47" s="107" t="s">
        <v>565</v>
      </c>
      <c r="S47" s="22">
        <v>1000</v>
      </c>
      <c r="T47" s="22">
        <f>S47+P47</f>
        <v>41500</v>
      </c>
      <c r="U47" s="22">
        <f>T47/0.7</f>
        <v>59285.71428571429</v>
      </c>
      <c r="V47" s="23">
        <f>U47/0.875</f>
        <v>67755.102040816331</v>
      </c>
      <c r="W47" s="24">
        <f>(V47-U47)/V47</f>
        <v>0.125</v>
      </c>
      <c r="X47" s="23">
        <f>(ROUNDUP((V47/100),0))*100</f>
        <v>67800</v>
      </c>
      <c r="Y47" s="164">
        <f>(U47-P47)/U47</f>
        <v>0.31686746987951814</v>
      </c>
      <c r="Z47" s="145"/>
      <c r="AD47" s="154">
        <f>AVERAGE(Y34,Y35,Y36,Y37,Y38,Y39,Y40,Y41,Y44,Y47)</f>
        <v>0.3151625039021887</v>
      </c>
      <c r="AE47" s="145">
        <f>AVERAGE(U34,U35,U36,U37,U38,U39,U40,U41,U44,U47)</f>
        <v>68985.71428571429</v>
      </c>
      <c r="AF47" s="28">
        <v>58810.333333333336</v>
      </c>
      <c r="AG47" s="180">
        <v>71761.904761904749</v>
      </c>
      <c r="AH47" s="181">
        <v>75068</v>
      </c>
      <c r="AI47" s="21">
        <v>-0.13337757133377576</v>
      </c>
      <c r="AJ47" s="41">
        <v>38040</v>
      </c>
      <c r="AK47" s="180">
        <v>46897.142857142862</v>
      </c>
      <c r="AL47" s="180">
        <v>54166</v>
      </c>
      <c r="AM47" s="21">
        <v>-0.1888631655903498</v>
      </c>
      <c r="AN47" s="59">
        <v>46247</v>
      </c>
      <c r="AO47" s="180">
        <v>56274.285714285717</v>
      </c>
      <c r="AP47" s="180">
        <v>51781</v>
      </c>
      <c r="AQ47" s="21">
        <v>-0.17818592607636072</v>
      </c>
      <c r="AR47" s="44">
        <v>77456</v>
      </c>
      <c r="AS47" s="180">
        <v>67050</v>
      </c>
      <c r="AT47" s="180">
        <v>67050</v>
      </c>
      <c r="AU47" s="21">
        <v>0</v>
      </c>
      <c r="AV47" s="44">
        <v>67185</v>
      </c>
      <c r="AW47" s="180">
        <v>68400</v>
      </c>
      <c r="AX47" s="29"/>
      <c r="AY47" s="21">
        <v>-1.7763157894736842E-2</v>
      </c>
      <c r="AZ47" s="55"/>
      <c r="BA47" s="29"/>
      <c r="BB47" s="29"/>
      <c r="BC47" s="30"/>
      <c r="BD47" s="224">
        <v>51435</v>
      </c>
      <c r="BE47" s="180">
        <v>62968</v>
      </c>
      <c r="BF47" s="180">
        <v>57576</v>
      </c>
      <c r="BG47" s="21">
        <v>-0.18315652394867235</v>
      </c>
      <c r="BH47" s="44">
        <v>72499</v>
      </c>
      <c r="BI47" s="180">
        <v>66722.857142857145</v>
      </c>
      <c r="BJ47" s="180">
        <v>57667</v>
      </c>
      <c r="BK47" s="21">
        <v>8.6569177407613551E-2</v>
      </c>
      <c r="BL47" s="57"/>
      <c r="BM47" s="180">
        <v>67261.42857142858</v>
      </c>
      <c r="BN47" s="180">
        <v>61841</v>
      </c>
      <c r="BO47" s="21">
        <v>8.7651049812075804E-2</v>
      </c>
      <c r="BP47" s="55"/>
      <c r="BQ47" s="29"/>
      <c r="BR47" s="29"/>
      <c r="BS47" s="30"/>
      <c r="BT47" s="55"/>
      <c r="BU47" s="180">
        <v>64430.000000000007</v>
      </c>
      <c r="BV47" s="180">
        <v>67417</v>
      </c>
      <c r="BW47" s="21">
        <v>-4.430633223074288E-2</v>
      </c>
      <c r="BX47" s="31"/>
    </row>
    <row r="48" spans="2:76" s="113" customFormat="1">
      <c r="B48" s="107">
        <v>467</v>
      </c>
      <c r="C48" s="113" t="s">
        <v>570</v>
      </c>
      <c r="D48" s="114" t="str">
        <f t="shared" si="8"/>
        <v xml:space="preserve"> 168</v>
      </c>
      <c r="E48" s="291" t="s">
        <v>570</v>
      </c>
      <c r="F48" s="101">
        <f t="shared" si="9"/>
        <v>0</v>
      </c>
      <c r="G48" s="113" t="s">
        <v>65</v>
      </c>
      <c r="H48" s="114" t="str">
        <f t="shared" si="10"/>
        <v xml:space="preserve">LFK </v>
      </c>
      <c r="I48" s="113" t="s">
        <v>867</v>
      </c>
      <c r="J48" s="113" t="s">
        <v>754</v>
      </c>
      <c r="K48" s="218">
        <v>63500</v>
      </c>
      <c r="L48" s="137">
        <f>K48-N48</f>
        <v>0</v>
      </c>
      <c r="M48" s="114" t="s">
        <v>67</v>
      </c>
      <c r="N48" s="217">
        <f t="shared" si="34"/>
        <v>63500</v>
      </c>
      <c r="O48" s="115">
        <f>2000+2850+800+300+1000</f>
        <v>6950</v>
      </c>
      <c r="P48" s="117">
        <f>O48+N48</f>
        <v>70450</v>
      </c>
      <c r="Q48" s="229"/>
      <c r="R48" s="113" t="s">
        <v>310</v>
      </c>
      <c r="S48" s="22">
        <v>4000</v>
      </c>
      <c r="T48" s="22">
        <f t="shared" si="27"/>
        <v>74450</v>
      </c>
      <c r="U48" s="22">
        <f t="shared" si="11"/>
        <v>106357.14285714287</v>
      </c>
      <c r="V48" s="23">
        <f t="shared" si="12"/>
        <v>121551.02040816328</v>
      </c>
      <c r="W48" s="24">
        <f t="shared" si="13"/>
        <v>0.12500000000000003</v>
      </c>
      <c r="X48" s="23">
        <f t="shared" si="14"/>
        <v>121600</v>
      </c>
      <c r="Y48" s="164">
        <f t="shared" si="28"/>
        <v>0.33760913364674283</v>
      </c>
      <c r="Z48" s="146"/>
      <c r="AD48" s="155"/>
      <c r="AE48" s="146"/>
      <c r="AF48" s="146"/>
    </row>
    <row r="49" spans="1:76" s="113" customFormat="1">
      <c r="B49" s="107">
        <v>468</v>
      </c>
      <c r="C49" s="113" t="s">
        <v>826</v>
      </c>
      <c r="D49" s="114" t="str">
        <f t="shared" si="8"/>
        <v xml:space="preserve"> 749</v>
      </c>
      <c r="E49" s="291" t="s">
        <v>826</v>
      </c>
      <c r="F49" s="101">
        <f t="shared" si="9"/>
        <v>0</v>
      </c>
      <c r="G49" s="113" t="s">
        <v>65</v>
      </c>
      <c r="H49" s="114" t="str">
        <f t="shared" si="10"/>
        <v xml:space="preserve">LRO </v>
      </c>
      <c r="I49" s="113" t="s">
        <v>867</v>
      </c>
      <c r="J49" s="113" t="s">
        <v>786</v>
      </c>
      <c r="K49" s="215">
        <v>50000</v>
      </c>
      <c r="L49" s="137">
        <f>K49-N49</f>
        <v>0</v>
      </c>
      <c r="M49" s="114" t="s">
        <v>67</v>
      </c>
      <c r="N49" s="217">
        <f t="shared" si="34"/>
        <v>50000</v>
      </c>
      <c r="O49" s="115">
        <f>2000+2250+800+300</f>
        <v>5350</v>
      </c>
      <c r="P49" s="117">
        <f>O49+N49</f>
        <v>55350</v>
      </c>
      <c r="Q49" s="229"/>
      <c r="R49" s="113" t="s">
        <v>349</v>
      </c>
      <c r="S49" s="22">
        <v>4000</v>
      </c>
      <c r="T49" s="22">
        <f t="shared" si="27"/>
        <v>59350</v>
      </c>
      <c r="U49" s="22">
        <f t="shared" si="11"/>
        <v>84785.71428571429</v>
      </c>
      <c r="V49" s="23">
        <f t="shared" si="12"/>
        <v>96897.959183673476</v>
      </c>
      <c r="W49" s="24">
        <f t="shared" si="13"/>
        <v>0.12500000000000003</v>
      </c>
      <c r="X49" s="23">
        <f t="shared" si="14"/>
        <v>96900</v>
      </c>
      <c r="Y49" s="164">
        <f t="shared" si="28"/>
        <v>0.34717775905644482</v>
      </c>
      <c r="Z49" s="146"/>
      <c r="AD49" s="155">
        <f>AVERAGE(Y49,Y48,Y43,Y46,Y45,Y42)</f>
        <v>0.34122950695915283</v>
      </c>
      <c r="AE49" s="146">
        <f>AVERAGE(U49,U48,U43,U46,U45,U42)</f>
        <v>98666.666666666686</v>
      </c>
      <c r="AF49" s="28">
        <v>113049.8</v>
      </c>
      <c r="AG49" s="180">
        <v>105603.17460317462</v>
      </c>
      <c r="AH49" s="181">
        <v>111661</v>
      </c>
      <c r="AI49" s="21">
        <v>6.4338415490885785E-3</v>
      </c>
      <c r="AJ49" s="44">
        <v>97162</v>
      </c>
      <c r="AK49" s="180">
        <v>101115.71428571429</v>
      </c>
      <c r="AL49" s="180">
        <v>81600</v>
      </c>
      <c r="AM49" s="21">
        <v>-3.9100888656560417E-2</v>
      </c>
      <c r="AN49" s="44">
        <v>100222</v>
      </c>
      <c r="AO49" s="180">
        <v>103247.14285714287</v>
      </c>
      <c r="AP49" s="180">
        <v>98727</v>
      </c>
      <c r="AQ49" s="21">
        <v>-2.9300015220068469E-2</v>
      </c>
      <c r="AR49" s="44">
        <v>108810</v>
      </c>
      <c r="AS49" s="180">
        <v>109150</v>
      </c>
      <c r="AT49" s="180">
        <v>123300</v>
      </c>
      <c r="AU49" s="21">
        <v>-3.1149793861658267E-3</v>
      </c>
      <c r="AV49" s="44">
        <v>116156</v>
      </c>
      <c r="AW49" s="180">
        <v>101850</v>
      </c>
      <c r="AX49" s="180">
        <v>95850</v>
      </c>
      <c r="AY49" s="21">
        <v>0.14046146293568973</v>
      </c>
      <c r="AZ49" s="57"/>
      <c r="BA49" s="29"/>
      <c r="BB49" s="29"/>
      <c r="BC49" s="30"/>
      <c r="BD49" s="55"/>
      <c r="BE49" s="180">
        <v>116014</v>
      </c>
      <c r="BF49" s="180">
        <v>87319</v>
      </c>
      <c r="BG49" s="21">
        <v>-1</v>
      </c>
      <c r="BH49" s="44">
        <v>142899</v>
      </c>
      <c r="BI49" s="180">
        <v>102667.14285714287</v>
      </c>
      <c r="BJ49" s="180">
        <v>119167</v>
      </c>
      <c r="BK49" s="21">
        <v>0.39186692083988461</v>
      </c>
      <c r="BL49" s="57"/>
      <c r="BM49" s="180">
        <v>104500</v>
      </c>
      <c r="BN49" s="180">
        <v>99423</v>
      </c>
      <c r="BO49" s="21">
        <v>5.1064642990052603E-2</v>
      </c>
      <c r="BP49" s="55"/>
      <c r="BQ49" s="29"/>
      <c r="BR49" s="29"/>
      <c r="BS49" s="30"/>
      <c r="BT49" s="55"/>
      <c r="BU49" s="180">
        <v>117221.42857142858</v>
      </c>
      <c r="BV49" s="29"/>
      <c r="BW49" s="30"/>
      <c r="BX49" s="31"/>
    </row>
    <row r="50" spans="1:76" s="113" customFormat="1">
      <c r="B50" s="107">
        <v>469</v>
      </c>
      <c r="C50" s="113" t="s">
        <v>805</v>
      </c>
      <c r="D50" s="114" t="str">
        <f t="shared" si="8"/>
        <v xml:space="preserve"> 667</v>
      </c>
      <c r="E50" s="291" t="s">
        <v>805</v>
      </c>
      <c r="F50" s="101">
        <f t="shared" si="9"/>
        <v>0</v>
      </c>
      <c r="G50" s="113" t="s">
        <v>68</v>
      </c>
      <c r="H50" s="114" t="str">
        <f t="shared" si="10"/>
        <v xml:space="preserve">LJB </v>
      </c>
      <c r="I50" s="113" t="s">
        <v>869</v>
      </c>
      <c r="J50" s="113" t="s">
        <v>788</v>
      </c>
      <c r="K50" s="221">
        <v>70500</v>
      </c>
      <c r="L50" s="137">
        <f>K50-P50</f>
        <v>-7350</v>
      </c>
      <c r="M50" s="114" t="s">
        <v>67</v>
      </c>
      <c r="N50" s="222">
        <f t="shared" si="34"/>
        <v>70500</v>
      </c>
      <c r="O50" s="115">
        <f>2000+3450+800+200+250+650</f>
        <v>7350</v>
      </c>
      <c r="P50" s="115">
        <f>O50+N50</f>
        <v>77850</v>
      </c>
      <c r="Q50" s="229"/>
      <c r="R50" s="113" t="s">
        <v>396</v>
      </c>
      <c r="S50" s="22">
        <v>0</v>
      </c>
      <c r="T50" s="22">
        <f t="shared" si="27"/>
        <v>77850</v>
      </c>
      <c r="U50" s="22">
        <f t="shared" si="11"/>
        <v>111214.28571428572</v>
      </c>
      <c r="V50" s="23">
        <f t="shared" si="12"/>
        <v>127102.04081632654</v>
      </c>
      <c r="W50" s="24">
        <f t="shared" si="13"/>
        <v>0.12499999999999997</v>
      </c>
      <c r="X50" s="23">
        <f t="shared" si="14"/>
        <v>127200</v>
      </c>
      <c r="Y50" s="164">
        <f t="shared" si="28"/>
        <v>0.30000000000000004</v>
      </c>
      <c r="Z50" s="244">
        <v>106643</v>
      </c>
      <c r="AA50" s="256">
        <f>U50-Z50</f>
        <v>4571.2857142857247</v>
      </c>
      <c r="AB50" s="189">
        <f>AA50/Z50</f>
        <v>4.2865314313041872E-2</v>
      </c>
      <c r="AD50" s="155"/>
      <c r="AE50" s="146"/>
      <c r="AF50" s="146"/>
    </row>
    <row r="51" spans="1:76" s="113" customFormat="1">
      <c r="B51" s="107">
        <v>470</v>
      </c>
      <c r="C51" s="255" t="s">
        <v>877</v>
      </c>
      <c r="D51" s="114" t="str">
        <f t="shared" si="8"/>
        <v xml:space="preserve"> 919</v>
      </c>
      <c r="E51" s="291" t="s">
        <v>877</v>
      </c>
      <c r="F51" s="101">
        <f t="shared" si="9"/>
        <v>0</v>
      </c>
      <c r="G51" s="113" t="s">
        <v>65</v>
      </c>
      <c r="H51" s="114" t="str">
        <f t="shared" si="10"/>
        <v xml:space="preserve">LJB </v>
      </c>
      <c r="I51" s="113" t="s">
        <v>869</v>
      </c>
      <c r="J51" s="113" t="s">
        <v>788</v>
      </c>
      <c r="K51" s="221">
        <v>70500</v>
      </c>
      <c r="L51" s="137">
        <f>K51-N51</f>
        <v>0</v>
      </c>
      <c r="M51" s="114" t="s">
        <v>67</v>
      </c>
      <c r="N51" s="222">
        <f t="shared" si="34"/>
        <v>70500</v>
      </c>
      <c r="O51" s="115">
        <f>2000+3450+800+200+250+650</f>
        <v>7350</v>
      </c>
      <c r="P51" s="117">
        <f>N51+O51</f>
        <v>77850</v>
      </c>
      <c r="Q51" s="229"/>
      <c r="R51" s="113" t="s">
        <v>396</v>
      </c>
      <c r="S51" s="22">
        <v>5000</v>
      </c>
      <c r="T51" s="22">
        <f t="shared" si="27"/>
        <v>82850</v>
      </c>
      <c r="U51" s="22">
        <f t="shared" si="11"/>
        <v>118357.14285714287</v>
      </c>
      <c r="V51" s="23">
        <f t="shared" si="12"/>
        <v>135265.30612244899</v>
      </c>
      <c r="W51" s="24">
        <f t="shared" si="13"/>
        <v>0.125</v>
      </c>
      <c r="X51" s="23">
        <f t="shared" si="14"/>
        <v>135300</v>
      </c>
      <c r="Y51" s="164">
        <f t="shared" si="28"/>
        <v>0.34224502112251065</v>
      </c>
      <c r="Z51" s="146"/>
      <c r="AD51" s="155"/>
      <c r="AE51" s="146"/>
      <c r="AF51" s="146"/>
    </row>
    <row r="52" spans="1:76" s="113" customFormat="1">
      <c r="B52" s="107">
        <v>471</v>
      </c>
      <c r="C52" s="113" t="s">
        <v>571</v>
      </c>
      <c r="D52" s="114" t="str">
        <f t="shared" si="8"/>
        <v xml:space="preserve"> 141</v>
      </c>
      <c r="E52" s="291" t="s">
        <v>571</v>
      </c>
      <c r="F52" s="101">
        <f t="shared" si="9"/>
        <v>0</v>
      </c>
      <c r="G52" s="113" t="s">
        <v>65</v>
      </c>
      <c r="H52" s="114" t="str">
        <f t="shared" si="10"/>
        <v xml:space="preserve">LJB </v>
      </c>
      <c r="I52" s="113" t="s">
        <v>869</v>
      </c>
      <c r="J52" s="113" t="s">
        <v>788</v>
      </c>
      <c r="K52" s="221">
        <v>70500</v>
      </c>
      <c r="L52" s="137">
        <f>K52-N52</f>
        <v>0</v>
      </c>
      <c r="M52" s="114" t="s">
        <v>67</v>
      </c>
      <c r="N52" s="222">
        <f t="shared" si="34"/>
        <v>70500</v>
      </c>
      <c r="O52" s="115">
        <f>2000+3450+800+200+250+650</f>
        <v>7350</v>
      </c>
      <c r="P52" s="117">
        <f>N52+O52</f>
        <v>77850</v>
      </c>
      <c r="Q52" s="229"/>
      <c r="R52" s="113" t="s">
        <v>396</v>
      </c>
      <c r="S52" s="22">
        <v>5000</v>
      </c>
      <c r="T52" s="22">
        <f t="shared" si="27"/>
        <v>82850</v>
      </c>
      <c r="U52" s="22">
        <f t="shared" si="11"/>
        <v>118357.14285714287</v>
      </c>
      <c r="V52" s="23">
        <f t="shared" si="12"/>
        <v>135265.30612244899</v>
      </c>
      <c r="W52" s="24">
        <f t="shared" si="13"/>
        <v>0.125</v>
      </c>
      <c r="X52" s="23">
        <f t="shared" si="14"/>
        <v>135300</v>
      </c>
      <c r="Y52" s="164">
        <f t="shared" si="28"/>
        <v>0.34224502112251065</v>
      </c>
      <c r="Z52" s="146"/>
      <c r="AD52" s="155"/>
      <c r="AE52" s="146"/>
      <c r="AF52" s="146"/>
    </row>
    <row r="53" spans="1:76" s="113" customFormat="1">
      <c r="B53" s="107">
        <v>472</v>
      </c>
      <c r="C53" s="113" t="s">
        <v>572</v>
      </c>
      <c r="D53" s="114" t="str">
        <f t="shared" si="8"/>
        <v xml:space="preserve"> 598</v>
      </c>
      <c r="E53" s="291" t="s">
        <v>572</v>
      </c>
      <c r="F53" s="101">
        <f t="shared" si="9"/>
        <v>0</v>
      </c>
      <c r="G53" s="113" t="s">
        <v>65</v>
      </c>
      <c r="H53" s="114" t="str">
        <f t="shared" si="10"/>
        <v xml:space="preserve">LMH </v>
      </c>
      <c r="I53" s="113" t="s">
        <v>869</v>
      </c>
      <c r="J53" s="113" t="s">
        <v>774</v>
      </c>
      <c r="K53" s="113">
        <v>72000</v>
      </c>
      <c r="L53" s="137">
        <f>K53-P53</f>
        <v>-7100</v>
      </c>
      <c r="M53" s="114" t="s">
        <v>67</v>
      </c>
      <c r="N53" s="115">
        <f t="shared" si="34"/>
        <v>72000</v>
      </c>
      <c r="O53" s="115">
        <f>2000+3450+800+200+250+400</f>
        <v>7100</v>
      </c>
      <c r="P53" s="115">
        <f t="shared" ref="P53:P63" si="35">O53+N53</f>
        <v>79100</v>
      </c>
      <c r="Q53" s="227" t="s">
        <v>777</v>
      </c>
      <c r="R53" s="113" t="s">
        <v>573</v>
      </c>
      <c r="S53" s="22">
        <v>5000</v>
      </c>
      <c r="T53" s="22">
        <f t="shared" si="27"/>
        <v>84100</v>
      </c>
      <c r="U53" s="22">
        <f t="shared" si="11"/>
        <v>120142.85714285714</v>
      </c>
      <c r="V53" s="23">
        <f t="shared" si="12"/>
        <v>137306.12244897959</v>
      </c>
      <c r="W53" s="24">
        <f t="shared" si="13"/>
        <v>0.12499999999999994</v>
      </c>
      <c r="X53" s="23">
        <f t="shared" si="14"/>
        <v>137400</v>
      </c>
      <c r="Y53" s="164">
        <f t="shared" si="28"/>
        <v>0.34161712247324616</v>
      </c>
      <c r="Z53" s="146"/>
      <c r="AD53" s="155"/>
      <c r="AE53" s="146"/>
      <c r="AF53" s="146"/>
    </row>
    <row r="54" spans="1:76" s="113" customFormat="1">
      <c r="B54" s="107">
        <v>473</v>
      </c>
      <c r="C54" s="113" t="s">
        <v>807</v>
      </c>
      <c r="D54" s="114" t="str">
        <f t="shared" si="8"/>
        <v xml:space="preserve"> 510</v>
      </c>
      <c r="E54" s="291" t="s">
        <v>807</v>
      </c>
      <c r="F54" s="101">
        <f t="shared" si="9"/>
        <v>0</v>
      </c>
      <c r="G54" s="113" t="s">
        <v>68</v>
      </c>
      <c r="H54" s="114" t="str">
        <f t="shared" si="10"/>
        <v xml:space="preserve">LJB </v>
      </c>
      <c r="I54" s="113" t="s">
        <v>869</v>
      </c>
      <c r="J54" s="113" t="s">
        <v>788</v>
      </c>
      <c r="K54" s="146">
        <v>59000</v>
      </c>
      <c r="L54" s="137">
        <f>K54-N54</f>
        <v>0</v>
      </c>
      <c r="M54" s="114" t="s">
        <v>67</v>
      </c>
      <c r="N54" s="223">
        <f t="shared" si="34"/>
        <v>59000</v>
      </c>
      <c r="O54" s="115">
        <f>2000+3450+800+200+250+800</f>
        <v>7500</v>
      </c>
      <c r="P54" s="117">
        <f t="shared" si="35"/>
        <v>66500</v>
      </c>
      <c r="Q54" s="229" t="s">
        <v>831</v>
      </c>
      <c r="R54" s="113" t="s">
        <v>574</v>
      </c>
      <c r="S54" s="22">
        <v>1000</v>
      </c>
      <c r="T54" s="22">
        <f t="shared" si="27"/>
        <v>67500</v>
      </c>
      <c r="U54" s="22">
        <f t="shared" ref="U54:U63" si="36">T54/0.7</f>
        <v>96428.571428571435</v>
      </c>
      <c r="V54" s="23">
        <f t="shared" ref="V54:V63" si="37">U54/0.875</f>
        <v>110204.08163265306</v>
      </c>
      <c r="W54" s="24">
        <f t="shared" ref="W54:W63" si="38">(V54-U54)/V54</f>
        <v>0.12499999999999994</v>
      </c>
      <c r="X54" s="23">
        <f t="shared" si="14"/>
        <v>110300</v>
      </c>
      <c r="Y54" s="164">
        <f t="shared" si="28"/>
        <v>0.31037037037037041</v>
      </c>
      <c r="Z54" s="244">
        <v>92071</v>
      </c>
      <c r="AA54" s="256">
        <f>U54-Z54</f>
        <v>4357.5714285714348</v>
      </c>
      <c r="AB54" s="189">
        <f>AA54/Z54</f>
        <v>4.7328381668184712E-2</v>
      </c>
      <c r="AC54" s="115"/>
      <c r="AD54" s="156"/>
      <c r="AE54" s="146"/>
      <c r="AF54" s="146"/>
    </row>
    <row r="55" spans="1:76" s="113" customFormat="1">
      <c r="A55" s="113" t="s">
        <v>855</v>
      </c>
      <c r="B55" s="107">
        <v>474</v>
      </c>
      <c r="C55" s="113" t="s">
        <v>808</v>
      </c>
      <c r="D55" s="114" t="str">
        <f t="shared" si="8"/>
        <v xml:space="preserve"> 267</v>
      </c>
      <c r="E55" s="291" t="s">
        <v>808</v>
      </c>
      <c r="F55" s="101">
        <f t="shared" si="9"/>
        <v>0</v>
      </c>
      <c r="G55" s="113" t="s">
        <v>68</v>
      </c>
      <c r="H55" s="114" t="str">
        <f t="shared" si="10"/>
        <v xml:space="preserve">LHL </v>
      </c>
      <c r="I55" s="113" t="s">
        <v>869</v>
      </c>
      <c r="J55" s="113" t="s">
        <v>575</v>
      </c>
      <c r="K55" s="241">
        <v>65000</v>
      </c>
      <c r="L55" s="137">
        <f>K55-P55</f>
        <v>0</v>
      </c>
      <c r="M55" s="114" t="s">
        <v>69</v>
      </c>
      <c r="N55" s="115">
        <f>K55-O55</f>
        <v>57600</v>
      </c>
      <c r="O55" s="115">
        <f>2000+3450+800+200+250+700</f>
        <v>7400</v>
      </c>
      <c r="P55" s="243">
        <f t="shared" si="35"/>
        <v>65000</v>
      </c>
      <c r="Q55" s="229" t="s">
        <v>777</v>
      </c>
      <c r="R55" s="113" t="s">
        <v>576</v>
      </c>
      <c r="S55" s="22">
        <v>2000</v>
      </c>
      <c r="T55" s="22">
        <f t="shared" si="27"/>
        <v>67000</v>
      </c>
      <c r="U55" s="22">
        <f t="shared" si="36"/>
        <v>95714.285714285725</v>
      </c>
      <c r="V55" s="23">
        <f t="shared" si="37"/>
        <v>109387.75510204083</v>
      </c>
      <c r="W55" s="24">
        <f t="shared" si="38"/>
        <v>0.125</v>
      </c>
      <c r="X55" s="23">
        <f t="shared" si="14"/>
        <v>109400</v>
      </c>
      <c r="Y55" s="164">
        <f t="shared" si="28"/>
        <v>0.3208955223880598</v>
      </c>
      <c r="Z55" s="244">
        <v>91429</v>
      </c>
      <c r="AA55" s="256">
        <f>U55-Z55</f>
        <v>4285.2857142857247</v>
      </c>
      <c r="AB55" s="189">
        <f>AA55/Z55</f>
        <v>4.6870092796440131E-2</v>
      </c>
      <c r="AC55" s="115"/>
      <c r="AD55" s="156"/>
      <c r="AE55" s="146"/>
      <c r="AF55" s="146"/>
    </row>
    <row r="56" spans="1:76" s="113" customFormat="1">
      <c r="B56" s="107">
        <v>475</v>
      </c>
      <c r="C56" s="113" t="s">
        <v>810</v>
      </c>
      <c r="D56" s="114" t="str">
        <f t="shared" si="8"/>
        <v xml:space="preserve"> 319</v>
      </c>
      <c r="E56" s="291" t="s">
        <v>810</v>
      </c>
      <c r="F56" s="101">
        <f t="shared" si="9"/>
        <v>0</v>
      </c>
      <c r="G56" s="113" t="s">
        <v>68</v>
      </c>
      <c r="H56" s="114" t="str">
        <f t="shared" si="10"/>
        <v xml:space="preserve">LJB </v>
      </c>
      <c r="I56" s="113" t="s">
        <v>869</v>
      </c>
      <c r="J56" s="113" t="s">
        <v>788</v>
      </c>
      <c r="K56" s="146">
        <v>57600</v>
      </c>
      <c r="L56" s="137">
        <f>K56-P56</f>
        <v>-7400</v>
      </c>
      <c r="M56" s="114" t="s">
        <v>67</v>
      </c>
      <c r="N56" s="223">
        <f t="shared" si="34"/>
        <v>57600</v>
      </c>
      <c r="O56" s="115">
        <f>2000+3450+800+200+250+700</f>
        <v>7400</v>
      </c>
      <c r="P56" s="116">
        <f t="shared" si="35"/>
        <v>65000</v>
      </c>
      <c r="Q56" s="229" t="s">
        <v>831</v>
      </c>
      <c r="R56" s="113" t="s">
        <v>577</v>
      </c>
      <c r="S56" s="22">
        <v>7000</v>
      </c>
      <c r="T56" s="22">
        <f t="shared" si="27"/>
        <v>72000</v>
      </c>
      <c r="U56" s="22">
        <f t="shared" si="36"/>
        <v>102857.14285714287</v>
      </c>
      <c r="V56" s="23">
        <f t="shared" si="37"/>
        <v>117551.02040816328</v>
      </c>
      <c r="W56" s="24">
        <f t="shared" si="38"/>
        <v>0.12500000000000003</v>
      </c>
      <c r="X56" s="23">
        <f t="shared" si="14"/>
        <v>117600</v>
      </c>
      <c r="Y56" s="164">
        <f t="shared" si="28"/>
        <v>0.36805555555555564</v>
      </c>
      <c r="Z56" s="244">
        <v>96214</v>
      </c>
      <c r="AA56" s="256">
        <f>U56-Z56</f>
        <v>6643.1428571428696</v>
      </c>
      <c r="AB56" s="189">
        <f>AA56/Z56</f>
        <v>6.9045490855206823E-2</v>
      </c>
      <c r="AD56" s="155"/>
      <c r="AE56" s="146"/>
      <c r="AF56" s="146"/>
    </row>
    <row r="57" spans="1:76" s="113" customFormat="1">
      <c r="A57" s="113" t="s">
        <v>857</v>
      </c>
      <c r="B57" s="107">
        <v>476</v>
      </c>
      <c r="C57" s="113" t="s">
        <v>809</v>
      </c>
      <c r="D57" s="114" t="str">
        <f t="shared" si="8"/>
        <v xml:space="preserve"> 259</v>
      </c>
      <c r="E57" s="291" t="s">
        <v>809</v>
      </c>
      <c r="F57" s="101">
        <f t="shared" si="9"/>
        <v>0</v>
      </c>
      <c r="G57" s="113" t="s">
        <v>65</v>
      </c>
      <c r="H57" s="114" t="str">
        <f t="shared" si="10"/>
        <v xml:space="preserve">LJB </v>
      </c>
      <c r="I57" s="113" t="s">
        <v>869</v>
      </c>
      <c r="J57" s="113" t="s">
        <v>788</v>
      </c>
      <c r="K57" s="113">
        <v>57500</v>
      </c>
      <c r="L57" s="137">
        <f t="shared" ref="L57:L72" si="39">K57-N57</f>
        <v>0</v>
      </c>
      <c r="M57" s="114" t="s">
        <v>67</v>
      </c>
      <c r="N57" s="115">
        <f t="shared" si="34"/>
        <v>57500</v>
      </c>
      <c r="O57" s="115">
        <f>2000+3450+800+200+250+700+800</f>
        <v>8200</v>
      </c>
      <c r="P57" s="117">
        <f t="shared" si="35"/>
        <v>65700</v>
      </c>
      <c r="Q57" s="229" t="s">
        <v>777</v>
      </c>
      <c r="R57" s="113" t="s">
        <v>578</v>
      </c>
      <c r="S57" s="22">
        <v>5000</v>
      </c>
      <c r="T57" s="22">
        <f t="shared" si="27"/>
        <v>70700</v>
      </c>
      <c r="U57" s="22">
        <f t="shared" si="36"/>
        <v>101000</v>
      </c>
      <c r="V57" s="23">
        <f t="shared" si="37"/>
        <v>115428.57142857143</v>
      </c>
      <c r="W57" s="24">
        <f t="shared" si="38"/>
        <v>0.12500000000000006</v>
      </c>
      <c r="X57" s="23">
        <f t="shared" si="14"/>
        <v>115500</v>
      </c>
      <c r="Y57" s="164">
        <f t="shared" si="28"/>
        <v>0.34950495049504948</v>
      </c>
      <c r="Z57" s="146"/>
      <c r="AD57" s="155"/>
      <c r="AE57" s="146"/>
      <c r="AF57" s="146"/>
    </row>
    <row r="58" spans="1:76" s="113" customFormat="1">
      <c r="B58" s="107">
        <v>477</v>
      </c>
      <c r="C58" s="113" t="s">
        <v>811</v>
      </c>
      <c r="D58" s="114" t="str">
        <f t="shared" si="8"/>
        <v xml:space="preserve"> 380</v>
      </c>
      <c r="E58" s="291" t="s">
        <v>811</v>
      </c>
      <c r="F58" s="101">
        <f t="shared" si="9"/>
        <v>0</v>
      </c>
      <c r="G58" s="113" t="s">
        <v>68</v>
      </c>
      <c r="H58" s="114" t="str">
        <f t="shared" si="10"/>
        <v xml:space="preserve">LJB </v>
      </c>
      <c r="I58" s="113" t="s">
        <v>869</v>
      </c>
      <c r="J58" s="113" t="s">
        <v>788</v>
      </c>
      <c r="K58" s="221">
        <v>57000</v>
      </c>
      <c r="L58" s="137">
        <f t="shared" si="39"/>
        <v>0</v>
      </c>
      <c r="M58" s="114" t="s">
        <v>67</v>
      </c>
      <c r="N58" s="222">
        <f t="shared" si="34"/>
        <v>57000</v>
      </c>
      <c r="O58" s="115">
        <f>2000+3450+800+200+250+800</f>
        <v>7500</v>
      </c>
      <c r="P58" s="117">
        <f t="shared" si="35"/>
        <v>64500</v>
      </c>
      <c r="Q58" s="229"/>
      <c r="R58" s="113" t="s">
        <v>579</v>
      </c>
      <c r="S58" s="22">
        <v>1500</v>
      </c>
      <c r="T58" s="22">
        <f t="shared" si="27"/>
        <v>66000</v>
      </c>
      <c r="U58" s="22">
        <f t="shared" si="36"/>
        <v>94285.71428571429</v>
      </c>
      <c r="V58" s="23">
        <f t="shared" si="37"/>
        <v>107755.10204081633</v>
      </c>
      <c r="W58" s="24">
        <f t="shared" si="38"/>
        <v>0.125</v>
      </c>
      <c r="X58" s="23">
        <f t="shared" si="14"/>
        <v>107800</v>
      </c>
      <c r="Y58" s="164">
        <f t="shared" si="28"/>
        <v>0.31590909090909092</v>
      </c>
      <c r="Z58" s="244">
        <v>91357</v>
      </c>
      <c r="AA58" s="256">
        <f>U58-Z58</f>
        <v>2928.7142857142899</v>
      </c>
      <c r="AB58" s="189">
        <f>AA58/Z58</f>
        <v>3.2057907830973981E-2</v>
      </c>
      <c r="AC58" s="115"/>
      <c r="AD58" s="156"/>
      <c r="AE58" s="146"/>
      <c r="AF58" s="146"/>
    </row>
    <row r="59" spans="1:76" s="113" customFormat="1">
      <c r="B59" s="107">
        <v>478</v>
      </c>
      <c r="C59" s="113" t="s">
        <v>814</v>
      </c>
      <c r="D59" s="114" t="str">
        <f t="shared" si="8"/>
        <v xml:space="preserve"> 962</v>
      </c>
      <c r="E59" s="291" t="s">
        <v>814</v>
      </c>
      <c r="F59" s="101">
        <f t="shared" si="9"/>
        <v>0</v>
      </c>
      <c r="G59" s="113" t="s">
        <v>65</v>
      </c>
      <c r="H59" s="114" t="str">
        <f t="shared" si="10"/>
        <v xml:space="preserve">LWH </v>
      </c>
      <c r="I59" s="113" t="s">
        <v>869</v>
      </c>
      <c r="J59" s="113" t="s">
        <v>757</v>
      </c>
      <c r="K59" s="218">
        <v>71000</v>
      </c>
      <c r="L59" s="137">
        <f t="shared" si="39"/>
        <v>0</v>
      </c>
      <c r="M59" s="114" t="s">
        <v>67</v>
      </c>
      <c r="N59" s="217">
        <f t="shared" si="34"/>
        <v>71000</v>
      </c>
      <c r="O59" s="115">
        <f>2000+3450+800+200+250+650</f>
        <v>7350</v>
      </c>
      <c r="P59" s="117">
        <f t="shared" si="35"/>
        <v>78350</v>
      </c>
      <c r="Q59" s="229"/>
      <c r="R59" s="113" t="s">
        <v>396</v>
      </c>
      <c r="S59" s="22">
        <v>5000</v>
      </c>
      <c r="T59" s="22">
        <f t="shared" si="27"/>
        <v>83350</v>
      </c>
      <c r="U59" s="22">
        <f t="shared" si="36"/>
        <v>119071.42857142858</v>
      </c>
      <c r="V59" s="23">
        <f t="shared" si="37"/>
        <v>136081.63265306124</v>
      </c>
      <c r="W59" s="24">
        <f t="shared" si="38"/>
        <v>0.12500000000000006</v>
      </c>
      <c r="X59" s="23">
        <f t="shared" si="14"/>
        <v>136100</v>
      </c>
      <c r="Y59" s="164">
        <f t="shared" si="28"/>
        <v>0.34199160167966414</v>
      </c>
      <c r="Z59" s="258"/>
      <c r="AA59" s="114"/>
      <c r="AB59" s="115"/>
      <c r="AC59" s="115"/>
      <c r="AD59" s="156"/>
      <c r="AE59" s="146"/>
      <c r="AF59" s="146"/>
    </row>
    <row r="60" spans="1:76" s="113" customFormat="1">
      <c r="B60" s="107">
        <v>479</v>
      </c>
      <c r="C60" s="113" t="s">
        <v>812</v>
      </c>
      <c r="D60" s="114" t="str">
        <f t="shared" si="8"/>
        <v xml:space="preserve"> 597</v>
      </c>
      <c r="E60" s="291" t="s">
        <v>812</v>
      </c>
      <c r="F60" s="101">
        <f t="shared" si="9"/>
        <v>0</v>
      </c>
      <c r="G60" s="113" t="s">
        <v>65</v>
      </c>
      <c r="H60" s="114" t="str">
        <f t="shared" si="10"/>
        <v xml:space="preserve">LJB </v>
      </c>
      <c r="I60" s="113" t="s">
        <v>869</v>
      </c>
      <c r="J60" s="113" t="s">
        <v>788</v>
      </c>
      <c r="K60" s="221">
        <v>67000</v>
      </c>
      <c r="L60" s="137">
        <f t="shared" si="39"/>
        <v>0</v>
      </c>
      <c r="M60" s="114" t="s">
        <v>67</v>
      </c>
      <c r="N60" s="222">
        <f t="shared" si="34"/>
        <v>67000</v>
      </c>
      <c r="O60" s="115">
        <f>2000+3450+800+200+250+400</f>
        <v>7100</v>
      </c>
      <c r="P60" s="117">
        <f t="shared" si="35"/>
        <v>74100</v>
      </c>
      <c r="Q60" s="229"/>
      <c r="R60" s="113" t="s">
        <v>573</v>
      </c>
      <c r="S60" s="22">
        <v>5000</v>
      </c>
      <c r="T60" s="22">
        <f t="shared" si="27"/>
        <v>79100</v>
      </c>
      <c r="U60" s="22">
        <f t="shared" si="36"/>
        <v>113000</v>
      </c>
      <c r="V60" s="23">
        <f t="shared" si="37"/>
        <v>129142.85714285714</v>
      </c>
      <c r="W60" s="24">
        <f t="shared" si="38"/>
        <v>0.12500000000000003</v>
      </c>
      <c r="X60" s="23">
        <f t="shared" si="14"/>
        <v>129200</v>
      </c>
      <c r="Y60" s="164">
        <f t="shared" si="28"/>
        <v>0.34424778761061947</v>
      </c>
      <c r="Z60" s="258"/>
      <c r="AA60" s="114"/>
      <c r="AB60" s="115"/>
      <c r="AC60" s="115"/>
      <c r="AD60" s="156"/>
      <c r="AE60" s="146"/>
      <c r="AF60" s="146"/>
    </row>
    <row r="61" spans="1:76" s="113" customFormat="1">
      <c r="B61" s="107">
        <v>480</v>
      </c>
      <c r="C61" s="113" t="s">
        <v>813</v>
      </c>
      <c r="D61" s="114" t="str">
        <f t="shared" si="8"/>
        <v xml:space="preserve"> 772</v>
      </c>
      <c r="E61" s="291" t="s">
        <v>813</v>
      </c>
      <c r="F61" s="101">
        <f t="shared" si="9"/>
        <v>0</v>
      </c>
      <c r="G61" s="113" t="s">
        <v>65</v>
      </c>
      <c r="H61" s="114" t="str">
        <f t="shared" si="10"/>
        <v xml:space="preserve">LJB </v>
      </c>
      <c r="I61" s="113" t="s">
        <v>869</v>
      </c>
      <c r="J61" s="113" t="s">
        <v>788</v>
      </c>
      <c r="K61" s="221">
        <v>57500</v>
      </c>
      <c r="L61" s="137">
        <f t="shared" si="39"/>
        <v>0</v>
      </c>
      <c r="M61" s="114" t="s">
        <v>67</v>
      </c>
      <c r="N61" s="222">
        <f t="shared" si="34"/>
        <v>57500</v>
      </c>
      <c r="O61" s="115">
        <f>2000+3450+800+200+250+700</f>
        <v>7400</v>
      </c>
      <c r="P61" s="117">
        <f t="shared" si="35"/>
        <v>64900</v>
      </c>
      <c r="Q61" s="229"/>
      <c r="R61" s="113" t="s">
        <v>576</v>
      </c>
      <c r="S61" s="22">
        <v>5000</v>
      </c>
      <c r="T61" s="22">
        <f t="shared" si="27"/>
        <v>69900</v>
      </c>
      <c r="U61" s="22">
        <f t="shared" si="36"/>
        <v>99857.14285714287</v>
      </c>
      <c r="V61" s="23">
        <f t="shared" si="37"/>
        <v>114122.44897959185</v>
      </c>
      <c r="W61" s="24">
        <f t="shared" si="38"/>
        <v>0.12499999999999999</v>
      </c>
      <c r="X61" s="23">
        <f t="shared" si="14"/>
        <v>114200</v>
      </c>
      <c r="Y61" s="164">
        <f t="shared" si="28"/>
        <v>0.35007153075822611</v>
      </c>
      <c r="Z61" s="259"/>
      <c r="AA61" s="114"/>
      <c r="AB61" s="115"/>
      <c r="AC61" s="115"/>
      <c r="AD61" s="156"/>
      <c r="AE61" s="146"/>
      <c r="AF61" s="146"/>
    </row>
    <row r="62" spans="1:76" s="113" customFormat="1">
      <c r="B62" s="107">
        <v>481</v>
      </c>
      <c r="C62" s="113" t="s">
        <v>580</v>
      </c>
      <c r="D62" s="114" t="str">
        <f t="shared" si="8"/>
        <v xml:space="preserve"> 386</v>
      </c>
      <c r="E62" s="291" t="s">
        <v>580</v>
      </c>
      <c r="F62" s="101">
        <f t="shared" si="9"/>
        <v>0</v>
      </c>
      <c r="G62" s="113" t="s">
        <v>65</v>
      </c>
      <c r="H62" s="114" t="str">
        <f t="shared" si="10"/>
        <v xml:space="preserve">LJB </v>
      </c>
      <c r="I62" s="113" t="s">
        <v>869</v>
      </c>
      <c r="J62" s="113" t="s">
        <v>788</v>
      </c>
      <c r="K62" s="221">
        <v>63000</v>
      </c>
      <c r="L62" s="137">
        <f t="shared" si="39"/>
        <v>0</v>
      </c>
      <c r="M62" s="114" t="s">
        <v>67</v>
      </c>
      <c r="N62" s="222">
        <v>63000</v>
      </c>
      <c r="O62" s="115">
        <f>2000+3450+800+200+250+400+800</f>
        <v>7900</v>
      </c>
      <c r="P62" s="117">
        <f t="shared" si="35"/>
        <v>70900</v>
      </c>
      <c r="Q62" s="229"/>
      <c r="R62" s="113" t="s">
        <v>581</v>
      </c>
      <c r="S62" s="22">
        <v>5000</v>
      </c>
      <c r="T62" s="22">
        <f t="shared" si="27"/>
        <v>75900</v>
      </c>
      <c r="U62" s="22">
        <f t="shared" si="36"/>
        <v>108428.57142857143</v>
      </c>
      <c r="V62" s="23">
        <f t="shared" si="37"/>
        <v>123918.36734693879</v>
      </c>
      <c r="W62" s="24">
        <f t="shared" si="38"/>
        <v>0.12500000000000003</v>
      </c>
      <c r="X62" s="23">
        <f t="shared" si="14"/>
        <v>124000</v>
      </c>
      <c r="Y62" s="164">
        <f t="shared" si="28"/>
        <v>0.34611330698287224</v>
      </c>
      <c r="Z62" s="146"/>
      <c r="AD62" s="155"/>
      <c r="AE62" s="146"/>
      <c r="AF62" s="146"/>
    </row>
    <row r="63" spans="1:76" s="113" customFormat="1">
      <c r="B63" s="107">
        <v>482</v>
      </c>
      <c r="C63" s="113" t="s">
        <v>582</v>
      </c>
      <c r="D63" s="114" t="str">
        <f t="shared" si="8"/>
        <v xml:space="preserve"> 678</v>
      </c>
      <c r="E63" s="291" t="s">
        <v>582</v>
      </c>
      <c r="F63" s="101">
        <f t="shared" si="9"/>
        <v>0</v>
      </c>
      <c r="G63" s="113" t="s">
        <v>65</v>
      </c>
      <c r="H63" s="114" t="str">
        <f t="shared" si="10"/>
        <v xml:space="preserve">LJB </v>
      </c>
      <c r="I63" s="113" t="s">
        <v>869</v>
      </c>
      <c r="J63" s="113" t="s">
        <v>788</v>
      </c>
      <c r="K63" s="221">
        <v>57500</v>
      </c>
      <c r="L63" s="137">
        <f t="shared" si="39"/>
        <v>0</v>
      </c>
      <c r="M63" s="114" t="s">
        <v>67</v>
      </c>
      <c r="N63" s="222">
        <f t="shared" si="34"/>
        <v>57500</v>
      </c>
      <c r="O63" s="115">
        <f>2000+3450+800+200+250+400+800</f>
        <v>7900</v>
      </c>
      <c r="P63" s="117">
        <f t="shared" si="35"/>
        <v>65400</v>
      </c>
      <c r="Q63" s="229"/>
      <c r="R63" s="113" t="s">
        <v>583</v>
      </c>
      <c r="S63" s="22">
        <v>5000</v>
      </c>
      <c r="T63" s="22">
        <f t="shared" si="27"/>
        <v>70400</v>
      </c>
      <c r="U63" s="22">
        <f t="shared" si="36"/>
        <v>100571.42857142858</v>
      </c>
      <c r="V63" s="23">
        <f t="shared" si="37"/>
        <v>114938.7755102041</v>
      </c>
      <c r="W63" s="24">
        <f t="shared" si="38"/>
        <v>0.12500000000000006</v>
      </c>
      <c r="X63" s="23">
        <f t="shared" si="14"/>
        <v>115000</v>
      </c>
      <c r="Y63" s="164">
        <f t="shared" si="28"/>
        <v>0.34971590909090916</v>
      </c>
      <c r="Z63" s="146"/>
      <c r="AD63" s="155"/>
      <c r="AE63" s="146"/>
      <c r="AF63" s="146"/>
    </row>
    <row r="64" spans="1:76" s="113" customFormat="1">
      <c r="B64" s="107">
        <v>483</v>
      </c>
      <c r="C64" s="113" t="s">
        <v>584</v>
      </c>
      <c r="D64" s="114" t="str">
        <f t="shared" si="8"/>
        <v xml:space="preserve"> 775</v>
      </c>
      <c r="E64" s="291" t="s">
        <v>584</v>
      </c>
      <c r="F64" s="101">
        <f t="shared" si="9"/>
        <v>0</v>
      </c>
      <c r="G64" s="113" t="s">
        <v>65</v>
      </c>
      <c r="H64" s="114" t="str">
        <f t="shared" si="10"/>
        <v xml:space="preserve">LJB </v>
      </c>
      <c r="I64" s="113" t="s">
        <v>869</v>
      </c>
      <c r="J64" s="113" t="s">
        <v>788</v>
      </c>
      <c r="K64" s="146">
        <v>66500</v>
      </c>
      <c r="L64" s="137">
        <f t="shared" si="39"/>
        <v>0</v>
      </c>
      <c r="M64" s="114" t="s">
        <v>67</v>
      </c>
      <c r="N64" s="223">
        <f t="shared" si="34"/>
        <v>66500</v>
      </c>
      <c r="O64" s="115">
        <f>2000+3450+800+200+250+400</f>
        <v>7100</v>
      </c>
      <c r="P64" s="117">
        <f>N64+O64</f>
        <v>73600</v>
      </c>
      <c r="Q64" s="229" t="s">
        <v>777</v>
      </c>
      <c r="R64" s="113" t="s">
        <v>573</v>
      </c>
      <c r="S64" s="22">
        <v>5000</v>
      </c>
      <c r="T64" s="22">
        <f t="shared" si="27"/>
        <v>78600</v>
      </c>
      <c r="U64" s="22">
        <f t="shared" ref="U64:U97" si="40">T64/0.7</f>
        <v>112285.71428571429</v>
      </c>
      <c r="V64" s="23">
        <f t="shared" ref="V64:V97" si="41">U64/0.875</f>
        <v>128326.5306122449</v>
      </c>
      <c r="W64" s="24">
        <f t="shared" ref="W64:W97" si="42">(V64-U64)/V64</f>
        <v>0.12499999999999996</v>
      </c>
      <c r="X64" s="23">
        <f t="shared" si="14"/>
        <v>128400</v>
      </c>
      <c r="Y64" s="164">
        <f t="shared" si="28"/>
        <v>0.34452926208651402</v>
      </c>
      <c r="Z64" s="146"/>
      <c r="AD64" s="155"/>
      <c r="AE64" s="146"/>
      <c r="AF64" s="146"/>
    </row>
    <row r="65" spans="1:76" s="113" customFormat="1">
      <c r="A65" s="113" t="s">
        <v>855</v>
      </c>
      <c r="B65" s="107">
        <v>484</v>
      </c>
      <c r="C65" s="113" t="s">
        <v>585</v>
      </c>
      <c r="D65" s="114" t="str">
        <f t="shared" si="8"/>
        <v xml:space="preserve"> 286</v>
      </c>
      <c r="E65" s="291" t="s">
        <v>585</v>
      </c>
      <c r="F65" s="101">
        <f t="shared" si="9"/>
        <v>0</v>
      </c>
      <c r="G65" s="113" t="s">
        <v>65</v>
      </c>
      <c r="H65" s="114" t="str">
        <f t="shared" si="10"/>
        <v xml:space="preserve">LJB </v>
      </c>
      <c r="I65" s="113" t="s">
        <v>869</v>
      </c>
      <c r="J65" s="113" t="s">
        <v>788</v>
      </c>
      <c r="K65" s="244">
        <v>57500</v>
      </c>
      <c r="L65" s="137">
        <f t="shared" si="39"/>
        <v>0</v>
      </c>
      <c r="M65" s="114" t="s">
        <v>67</v>
      </c>
      <c r="N65" s="223">
        <f t="shared" si="34"/>
        <v>57500</v>
      </c>
      <c r="O65" s="115">
        <f>2000+3450+800+200+250+800+700</f>
        <v>8200</v>
      </c>
      <c r="P65" s="243">
        <f>N65+O65</f>
        <v>65700</v>
      </c>
      <c r="Q65" s="229" t="s">
        <v>777</v>
      </c>
      <c r="R65" s="113" t="s">
        <v>574</v>
      </c>
      <c r="S65" s="22">
        <v>5000</v>
      </c>
      <c r="T65" s="22">
        <f t="shared" si="27"/>
        <v>70700</v>
      </c>
      <c r="U65" s="22">
        <f t="shared" si="40"/>
        <v>101000</v>
      </c>
      <c r="V65" s="23">
        <f t="shared" si="41"/>
        <v>115428.57142857143</v>
      </c>
      <c r="W65" s="24">
        <f t="shared" si="42"/>
        <v>0.12500000000000006</v>
      </c>
      <c r="X65" s="23">
        <f t="shared" si="14"/>
        <v>115500</v>
      </c>
      <c r="Y65" s="164">
        <f t="shared" si="28"/>
        <v>0.34950495049504948</v>
      </c>
      <c r="Z65" s="146"/>
      <c r="AD65" s="155"/>
      <c r="AE65" s="146"/>
      <c r="AF65" s="146"/>
    </row>
    <row r="66" spans="1:76" s="113" customFormat="1">
      <c r="B66" s="107">
        <v>485</v>
      </c>
      <c r="C66" s="113" t="s">
        <v>586</v>
      </c>
      <c r="D66" s="114" t="str">
        <f t="shared" si="8"/>
        <v xml:space="preserve"> 946</v>
      </c>
      <c r="E66" s="291" t="s">
        <v>586</v>
      </c>
      <c r="F66" s="101">
        <f t="shared" si="9"/>
        <v>0</v>
      </c>
      <c r="G66" s="113" t="s">
        <v>65</v>
      </c>
      <c r="H66" s="114" t="str">
        <f t="shared" si="10"/>
        <v xml:space="preserve">LJB </v>
      </c>
      <c r="I66" s="113" t="s">
        <v>869</v>
      </c>
      <c r="J66" s="113" t="s">
        <v>788</v>
      </c>
      <c r="K66" s="221">
        <v>57500</v>
      </c>
      <c r="L66" s="137">
        <f t="shared" si="39"/>
        <v>0</v>
      </c>
      <c r="M66" s="114" t="s">
        <v>67</v>
      </c>
      <c r="N66" s="222">
        <f t="shared" si="34"/>
        <v>57500</v>
      </c>
      <c r="O66" s="115">
        <f>2000+3450+800+200+250+400</f>
        <v>7100</v>
      </c>
      <c r="P66" s="117">
        <f t="shared" ref="P66:P73" si="43">O66+N66</f>
        <v>64600</v>
      </c>
      <c r="Q66" s="229"/>
      <c r="R66" s="113" t="s">
        <v>573</v>
      </c>
      <c r="S66" s="22">
        <v>5000</v>
      </c>
      <c r="T66" s="22">
        <f t="shared" si="27"/>
        <v>69600</v>
      </c>
      <c r="U66" s="22">
        <f t="shared" si="40"/>
        <v>99428.571428571435</v>
      </c>
      <c r="V66" s="23">
        <f t="shared" si="41"/>
        <v>113632.6530612245</v>
      </c>
      <c r="W66" s="24">
        <f t="shared" si="42"/>
        <v>0.125</v>
      </c>
      <c r="X66" s="23">
        <f t="shared" si="14"/>
        <v>113700</v>
      </c>
      <c r="Y66" s="164">
        <f t="shared" si="28"/>
        <v>0.35028735632183911</v>
      </c>
      <c r="Z66" s="146"/>
      <c r="AD66" s="155"/>
      <c r="AE66" s="146"/>
      <c r="AF66" s="146"/>
    </row>
    <row r="67" spans="1:76" s="113" customFormat="1">
      <c r="B67" s="107">
        <v>486</v>
      </c>
      <c r="C67" s="113" t="s">
        <v>587</v>
      </c>
      <c r="D67" s="114" t="str">
        <f t="shared" si="8"/>
        <v xml:space="preserve"> 552</v>
      </c>
      <c r="E67" s="291" t="s">
        <v>587</v>
      </c>
      <c r="F67" s="101">
        <f t="shared" si="9"/>
        <v>0</v>
      </c>
      <c r="G67" s="113" t="s">
        <v>65</v>
      </c>
      <c r="H67" s="114" t="str">
        <f t="shared" si="10"/>
        <v xml:space="preserve">LJB </v>
      </c>
      <c r="I67" s="113" t="s">
        <v>869</v>
      </c>
      <c r="J67" s="113" t="s">
        <v>788</v>
      </c>
      <c r="K67" s="221">
        <v>57500</v>
      </c>
      <c r="L67" s="137">
        <f t="shared" si="39"/>
        <v>0</v>
      </c>
      <c r="M67" s="114" t="s">
        <v>67</v>
      </c>
      <c r="N67" s="222">
        <f t="shared" si="34"/>
        <v>57500</v>
      </c>
      <c r="O67" s="115">
        <f>2000+3450+800+200+250+400+800</f>
        <v>7900</v>
      </c>
      <c r="P67" s="117">
        <f t="shared" si="43"/>
        <v>65400</v>
      </c>
      <c r="Q67" s="229"/>
      <c r="R67" s="113" t="s">
        <v>583</v>
      </c>
      <c r="S67" s="22">
        <v>5000</v>
      </c>
      <c r="T67" s="22">
        <f t="shared" si="27"/>
        <v>70400</v>
      </c>
      <c r="U67" s="22">
        <f t="shared" si="40"/>
        <v>100571.42857142858</v>
      </c>
      <c r="V67" s="23">
        <f t="shared" si="41"/>
        <v>114938.7755102041</v>
      </c>
      <c r="W67" s="24">
        <f t="shared" si="42"/>
        <v>0.12500000000000006</v>
      </c>
      <c r="X67" s="23">
        <f t="shared" si="14"/>
        <v>115000</v>
      </c>
      <c r="Y67" s="164">
        <f t="shared" si="28"/>
        <v>0.34971590909090916</v>
      </c>
      <c r="Z67" s="146"/>
      <c r="AD67" s="155"/>
      <c r="AE67" s="146"/>
      <c r="AF67" s="146"/>
    </row>
    <row r="68" spans="1:76" s="113" customFormat="1">
      <c r="B68" s="107">
        <v>487</v>
      </c>
      <c r="C68" s="113" t="s">
        <v>588</v>
      </c>
      <c r="D68" s="114" t="str">
        <f t="shared" si="8"/>
        <v xml:space="preserve"> 225</v>
      </c>
      <c r="E68" s="291" t="s">
        <v>588</v>
      </c>
      <c r="F68" s="101">
        <f t="shared" si="9"/>
        <v>0</v>
      </c>
      <c r="G68" s="113" t="s">
        <v>65</v>
      </c>
      <c r="H68" s="114" t="str">
        <f t="shared" si="10"/>
        <v xml:space="preserve">LJB </v>
      </c>
      <c r="I68" s="113" t="s">
        <v>869</v>
      </c>
      <c r="J68" s="113" t="s">
        <v>788</v>
      </c>
      <c r="K68" s="221">
        <v>74000</v>
      </c>
      <c r="L68" s="137">
        <f t="shared" si="39"/>
        <v>0</v>
      </c>
      <c r="M68" s="114" t="s">
        <v>67</v>
      </c>
      <c r="N68" s="222">
        <f t="shared" si="34"/>
        <v>74000</v>
      </c>
      <c r="O68" s="115">
        <f>2000+3450+800+200+250+400</f>
        <v>7100</v>
      </c>
      <c r="P68" s="117">
        <f t="shared" si="43"/>
        <v>81100</v>
      </c>
      <c r="Q68" s="229"/>
      <c r="R68" s="113" t="s">
        <v>573</v>
      </c>
      <c r="S68" s="22">
        <v>5000</v>
      </c>
      <c r="T68" s="22">
        <f t="shared" si="27"/>
        <v>86100</v>
      </c>
      <c r="U68" s="22">
        <f t="shared" si="40"/>
        <v>123000.00000000001</v>
      </c>
      <c r="V68" s="23">
        <f t="shared" si="41"/>
        <v>140571.42857142858</v>
      </c>
      <c r="W68" s="24">
        <f t="shared" si="42"/>
        <v>0.12499999999999994</v>
      </c>
      <c r="X68" s="23">
        <f t="shared" si="14"/>
        <v>140600</v>
      </c>
      <c r="Y68" s="164">
        <f t="shared" si="28"/>
        <v>0.34065040650406514</v>
      </c>
      <c r="Z68" s="146"/>
      <c r="AD68" s="155"/>
      <c r="AE68" s="146"/>
      <c r="AF68" s="146"/>
    </row>
    <row r="69" spans="1:76" s="113" customFormat="1">
      <c r="B69" s="107">
        <v>488</v>
      </c>
      <c r="C69" s="113" t="s">
        <v>589</v>
      </c>
      <c r="D69" s="114" t="str">
        <f t="shared" si="8"/>
        <v xml:space="preserve"> 432</v>
      </c>
      <c r="E69" s="291" t="s">
        <v>589</v>
      </c>
      <c r="F69" s="101">
        <f t="shared" si="9"/>
        <v>0</v>
      </c>
      <c r="G69" s="113" t="s">
        <v>65</v>
      </c>
      <c r="H69" s="114" t="str">
        <f t="shared" si="10"/>
        <v xml:space="preserve">LJB </v>
      </c>
      <c r="I69" s="113" t="s">
        <v>869</v>
      </c>
      <c r="J69" s="113" t="s">
        <v>788</v>
      </c>
      <c r="K69" s="221">
        <v>66000</v>
      </c>
      <c r="L69" s="137">
        <f t="shared" si="39"/>
        <v>0</v>
      </c>
      <c r="M69" s="114" t="s">
        <v>67</v>
      </c>
      <c r="N69" s="222">
        <f t="shared" si="34"/>
        <v>66000</v>
      </c>
      <c r="O69" s="115">
        <f>2000+3450+800+200+250+400</f>
        <v>7100</v>
      </c>
      <c r="P69" s="117">
        <f t="shared" si="43"/>
        <v>73100</v>
      </c>
      <c r="Q69" s="229"/>
      <c r="R69" s="113" t="s">
        <v>573</v>
      </c>
      <c r="S69" s="22">
        <v>5000</v>
      </c>
      <c r="T69" s="22">
        <f t="shared" ref="T69:T97" si="44">S69+P69</f>
        <v>78100</v>
      </c>
      <c r="U69" s="22">
        <f t="shared" si="40"/>
        <v>111571.42857142858</v>
      </c>
      <c r="V69" s="23">
        <f t="shared" si="41"/>
        <v>127510.20408163266</v>
      </c>
      <c r="W69" s="24">
        <f t="shared" si="42"/>
        <v>0.125</v>
      </c>
      <c r="X69" s="23">
        <f t="shared" si="14"/>
        <v>127600</v>
      </c>
      <c r="Y69" s="164">
        <f t="shared" ref="Y69:Y97" si="45">(U69-P69)/U69</f>
        <v>0.34481434058898852</v>
      </c>
      <c r="Z69" s="146"/>
      <c r="AD69" s="155"/>
      <c r="AE69" s="146"/>
      <c r="AF69" s="146"/>
    </row>
    <row r="70" spans="1:76" s="113" customFormat="1">
      <c r="B70" s="107">
        <v>489</v>
      </c>
      <c r="C70" s="113" t="s">
        <v>815</v>
      </c>
      <c r="D70" s="114" t="str">
        <f t="shared" ref="D70:D97" si="46">REPLACE(C70,1,3, )</f>
        <v xml:space="preserve"> 537</v>
      </c>
      <c r="E70" s="291" t="s">
        <v>815</v>
      </c>
      <c r="F70" s="101">
        <f t="shared" ref="F70:F97" si="47">IF(E70=C70,0,1)</f>
        <v>0</v>
      </c>
      <c r="G70" s="113" t="s">
        <v>68</v>
      </c>
      <c r="H70" s="114" t="str">
        <f t="shared" ref="H70:H97" si="48">REPLACE(C70,5,3, )</f>
        <v xml:space="preserve">LJB </v>
      </c>
      <c r="I70" s="113" t="s">
        <v>869</v>
      </c>
      <c r="J70" s="113" t="s">
        <v>788</v>
      </c>
      <c r="K70" s="221">
        <v>65500</v>
      </c>
      <c r="L70" s="137">
        <f t="shared" si="39"/>
        <v>0</v>
      </c>
      <c r="M70" s="114" t="s">
        <v>67</v>
      </c>
      <c r="N70" s="222">
        <f t="shared" si="34"/>
        <v>65500</v>
      </c>
      <c r="O70" s="115">
        <f t="shared" ref="O70" si="49">2000+3450+800+200+250</f>
        <v>6700</v>
      </c>
      <c r="P70" s="117">
        <f t="shared" si="43"/>
        <v>72200</v>
      </c>
      <c r="Q70" s="229"/>
      <c r="R70" s="113" t="s">
        <v>407</v>
      </c>
      <c r="S70" s="22">
        <v>1000</v>
      </c>
      <c r="T70" s="22">
        <f t="shared" si="44"/>
        <v>73200</v>
      </c>
      <c r="U70" s="22">
        <f t="shared" si="40"/>
        <v>104571.42857142858</v>
      </c>
      <c r="V70" s="23">
        <f t="shared" si="41"/>
        <v>119510.20408163266</v>
      </c>
      <c r="W70" s="24">
        <f t="shared" si="42"/>
        <v>0.125</v>
      </c>
      <c r="X70" s="23">
        <f t="shared" ref="X70:X97" si="50">(ROUNDUP((V70/100),0))*100</f>
        <v>119600</v>
      </c>
      <c r="Y70" s="164">
        <f t="shared" si="45"/>
        <v>0.3095628415300547</v>
      </c>
      <c r="Z70" s="244">
        <v>100929</v>
      </c>
      <c r="AA70" s="256">
        <f>U70-Z70</f>
        <v>3642.4285714285797</v>
      </c>
      <c r="AB70" s="189">
        <f>AA70/Z70</f>
        <v>3.6089018730281482E-2</v>
      </c>
      <c r="AD70" s="155"/>
      <c r="AE70" s="146"/>
      <c r="AF70" s="146"/>
    </row>
    <row r="71" spans="1:76" s="113" customFormat="1">
      <c r="B71" s="107">
        <v>490</v>
      </c>
      <c r="C71" s="113" t="s">
        <v>590</v>
      </c>
      <c r="D71" s="114" t="str">
        <f t="shared" si="46"/>
        <v xml:space="preserve"> 229</v>
      </c>
      <c r="E71" s="291" t="s">
        <v>590</v>
      </c>
      <c r="F71" s="101">
        <f t="shared" si="47"/>
        <v>0</v>
      </c>
      <c r="G71" s="113" t="s">
        <v>65</v>
      </c>
      <c r="H71" s="114" t="str">
        <f t="shared" si="48"/>
        <v xml:space="preserve">LJB </v>
      </c>
      <c r="I71" s="113" t="s">
        <v>869</v>
      </c>
      <c r="J71" s="113" t="s">
        <v>788</v>
      </c>
      <c r="K71" s="146">
        <v>67500</v>
      </c>
      <c r="L71" s="137">
        <f t="shared" si="39"/>
        <v>0</v>
      </c>
      <c r="M71" s="114" t="s">
        <v>67</v>
      </c>
      <c r="N71" s="223">
        <f t="shared" si="34"/>
        <v>67500</v>
      </c>
      <c r="O71" s="115">
        <f>2000+3450+800+200+250+700</f>
        <v>7400</v>
      </c>
      <c r="P71" s="117">
        <f t="shared" si="43"/>
        <v>74900</v>
      </c>
      <c r="Q71" s="229" t="s">
        <v>777</v>
      </c>
      <c r="R71" s="113" t="s">
        <v>352</v>
      </c>
      <c r="S71" s="22">
        <v>5000</v>
      </c>
      <c r="T71" s="22">
        <f t="shared" si="44"/>
        <v>79900</v>
      </c>
      <c r="U71" s="22">
        <f t="shared" si="40"/>
        <v>114142.85714285714</v>
      </c>
      <c r="V71" s="23">
        <f t="shared" si="41"/>
        <v>130448.97959183673</v>
      </c>
      <c r="W71" s="24">
        <f t="shared" si="42"/>
        <v>0.12499999999999996</v>
      </c>
      <c r="X71" s="23">
        <f t="shared" si="50"/>
        <v>130500</v>
      </c>
      <c r="Y71" s="164">
        <f t="shared" si="45"/>
        <v>0.34380475594493115</v>
      </c>
      <c r="Z71" s="146"/>
      <c r="AD71" s="155"/>
      <c r="AE71" s="146"/>
      <c r="AF71" s="146"/>
    </row>
    <row r="72" spans="1:76" s="113" customFormat="1">
      <c r="B72" s="107">
        <v>491</v>
      </c>
      <c r="C72" s="113" t="s">
        <v>830</v>
      </c>
      <c r="D72" s="114" t="str">
        <f t="shared" si="46"/>
        <v xml:space="preserve"> 773</v>
      </c>
      <c r="E72" s="291" t="s">
        <v>830</v>
      </c>
      <c r="F72" s="101">
        <f t="shared" si="47"/>
        <v>0</v>
      </c>
      <c r="G72" s="113" t="s">
        <v>65</v>
      </c>
      <c r="H72" s="114" t="str">
        <f t="shared" si="48"/>
        <v xml:space="preserve">LJB </v>
      </c>
      <c r="I72" s="113" t="s">
        <v>869</v>
      </c>
      <c r="J72" s="113" t="s">
        <v>788</v>
      </c>
      <c r="K72" s="146">
        <v>60000</v>
      </c>
      <c r="L72" s="137">
        <f t="shared" si="39"/>
        <v>0</v>
      </c>
      <c r="M72" s="114" t="s">
        <v>67</v>
      </c>
      <c r="N72" s="115">
        <f t="shared" si="34"/>
        <v>60000</v>
      </c>
      <c r="O72" s="115">
        <f>2000+3450+800+200+250+400+800</f>
        <v>7900</v>
      </c>
      <c r="P72" s="117">
        <f t="shared" si="43"/>
        <v>67900</v>
      </c>
      <c r="Q72" s="229" t="s">
        <v>777</v>
      </c>
      <c r="R72" s="113" t="s">
        <v>583</v>
      </c>
      <c r="S72" s="22">
        <v>5000</v>
      </c>
      <c r="T72" s="22">
        <f t="shared" si="44"/>
        <v>72900</v>
      </c>
      <c r="U72" s="22">
        <f t="shared" si="40"/>
        <v>104142.85714285714</v>
      </c>
      <c r="V72" s="23">
        <f t="shared" si="41"/>
        <v>119020.40816326531</v>
      </c>
      <c r="W72" s="24">
        <f t="shared" si="42"/>
        <v>0.12500000000000003</v>
      </c>
      <c r="X72" s="23">
        <f t="shared" si="50"/>
        <v>119100</v>
      </c>
      <c r="Y72" s="164">
        <f t="shared" si="45"/>
        <v>0.34801097393689989</v>
      </c>
      <c r="Z72" s="146"/>
      <c r="AD72" s="155"/>
      <c r="AE72" s="146"/>
      <c r="AF72" s="146"/>
    </row>
    <row r="73" spans="1:76" s="113" customFormat="1">
      <c r="B73" s="107">
        <v>492</v>
      </c>
      <c r="C73" s="113" t="s">
        <v>591</v>
      </c>
      <c r="D73" s="114" t="str">
        <f t="shared" si="46"/>
        <v xml:space="preserve"> 381</v>
      </c>
      <c r="E73" s="291" t="s">
        <v>591</v>
      </c>
      <c r="F73" s="101">
        <f t="shared" si="47"/>
        <v>0</v>
      </c>
      <c r="G73" s="113" t="s">
        <v>65</v>
      </c>
      <c r="H73" s="114" t="str">
        <f t="shared" si="48"/>
        <v xml:space="preserve">LJB </v>
      </c>
      <c r="I73" s="113" t="s">
        <v>869</v>
      </c>
      <c r="J73" s="113" t="s">
        <v>788</v>
      </c>
      <c r="K73" s="215">
        <v>63000</v>
      </c>
      <c r="L73" s="137">
        <f>K73-P73</f>
        <v>-7100</v>
      </c>
      <c r="M73" s="114" t="s">
        <v>67</v>
      </c>
      <c r="N73" s="217">
        <f t="shared" si="34"/>
        <v>63000</v>
      </c>
      <c r="O73" s="115">
        <f>2000+3450+800+200+250+400</f>
        <v>7100</v>
      </c>
      <c r="P73" s="116">
        <f t="shared" si="43"/>
        <v>70100</v>
      </c>
      <c r="Q73" s="229"/>
      <c r="R73" s="113" t="s">
        <v>573</v>
      </c>
      <c r="S73" s="22">
        <v>5000</v>
      </c>
      <c r="T73" s="22">
        <f t="shared" si="44"/>
        <v>75100</v>
      </c>
      <c r="U73" s="22">
        <f t="shared" si="40"/>
        <v>107285.71428571429</v>
      </c>
      <c r="V73" s="23">
        <f t="shared" si="41"/>
        <v>122612.24489795919</v>
      </c>
      <c r="W73" s="24">
        <f t="shared" si="42"/>
        <v>0.12499999999999999</v>
      </c>
      <c r="X73" s="23">
        <f t="shared" si="50"/>
        <v>122700</v>
      </c>
      <c r="Y73" s="164">
        <f t="shared" si="45"/>
        <v>0.34660452729693741</v>
      </c>
      <c r="Z73" s="146"/>
      <c r="AD73" s="155">
        <f>AVERAGE(Y73,Y72,Y71,Y70,Y69,Y68,Y67,Y66,Y65,Y64,Y63,Y62,Y61,Y60,Y59,Y58,Y56,Y57,Y55,Y54,Y53,Y52,Y51,Y50)</f>
        <v>0.33960283809811975</v>
      </c>
      <c r="AE73" s="146">
        <f>AVERAGE(U73,U72,U71,U70,U69,U68,U67,U66,U65,U64,U63,U62,U61,U60,U59,U58,U57,U56,U55,U54,U53,U52,U51,U50)</f>
        <v>107386.90476190478</v>
      </c>
      <c r="AF73" s="28">
        <v>107992.66666666667</v>
      </c>
      <c r="AG73" s="40">
        <v>98186.411149825799</v>
      </c>
      <c r="AH73" s="40"/>
      <c r="AI73" s="21">
        <v>7.8419706701680386E-2</v>
      </c>
      <c r="AJ73" s="59">
        <v>97912</v>
      </c>
      <c r="AK73" s="47">
        <v>95110</v>
      </c>
      <c r="AL73" s="40">
        <v>89818</v>
      </c>
      <c r="AM73" s="21">
        <v>2.9460624540006308E-2</v>
      </c>
      <c r="AN73" s="59">
        <v>98283</v>
      </c>
      <c r="AO73" s="38">
        <v>97545.71428571429</v>
      </c>
      <c r="AP73" s="40">
        <v>89027</v>
      </c>
      <c r="AQ73" s="21">
        <v>7.558360915028808E-3</v>
      </c>
      <c r="AR73" s="44">
        <v>120496</v>
      </c>
      <c r="AS73" s="38">
        <v>112258.57142857143</v>
      </c>
      <c r="AT73" s="40">
        <v>112761</v>
      </c>
      <c r="AU73" s="21">
        <v>7.3379061096193673E-2</v>
      </c>
      <c r="AV73" s="44">
        <v>107602</v>
      </c>
      <c r="AW73" s="38">
        <v>102322.85714285714</v>
      </c>
      <c r="AX73" s="40">
        <v>102738</v>
      </c>
      <c r="AY73" s="21">
        <v>5.1592996956412451E-2</v>
      </c>
      <c r="AZ73" s="57"/>
      <c r="BA73" s="29"/>
      <c r="BB73" s="29"/>
      <c r="BC73" s="30"/>
      <c r="BD73" s="44">
        <v>104436</v>
      </c>
      <c r="BE73" s="47">
        <v>94861</v>
      </c>
      <c r="BF73" s="40">
        <v>93196</v>
      </c>
      <c r="BG73" s="21">
        <v>0.10093716068774312</v>
      </c>
      <c r="BH73" s="44">
        <v>119227</v>
      </c>
      <c r="BI73" s="38">
        <v>104731.42857142858</v>
      </c>
      <c r="BJ73" s="40">
        <v>94078</v>
      </c>
      <c r="BK73" s="21">
        <v>0.13840708206023561</v>
      </c>
      <c r="BL73" s="55"/>
      <c r="BM73" s="38">
        <v>101095.71428571429</v>
      </c>
      <c r="BN73" s="40">
        <v>95804</v>
      </c>
      <c r="BO73" s="21">
        <v>5.5234794849007243E-2</v>
      </c>
      <c r="BP73" s="55"/>
      <c r="BQ73" s="29"/>
      <c r="BR73" s="29"/>
      <c r="BS73" s="30"/>
      <c r="BT73" s="55"/>
      <c r="BU73" s="38">
        <v>101121.42857142858</v>
      </c>
      <c r="BV73" s="40">
        <v>106293</v>
      </c>
      <c r="BW73" s="21">
        <v>-4.8653922916574187E-2</v>
      </c>
      <c r="BX73" s="31"/>
    </row>
    <row r="74" spans="1:76" s="118" customFormat="1">
      <c r="B74" s="107">
        <v>493</v>
      </c>
      <c r="C74" s="118" t="s">
        <v>592</v>
      </c>
      <c r="D74" s="119" t="str">
        <f t="shared" si="46"/>
        <v xml:space="preserve"> 477</v>
      </c>
      <c r="E74" s="291" t="s">
        <v>592</v>
      </c>
      <c r="F74" s="101">
        <f t="shared" si="47"/>
        <v>0</v>
      </c>
      <c r="G74" s="118" t="s">
        <v>65</v>
      </c>
      <c r="H74" s="119" t="str">
        <f t="shared" si="48"/>
        <v xml:space="preserve">LLI </v>
      </c>
      <c r="I74" s="118" t="s">
        <v>870</v>
      </c>
      <c r="J74" s="113" t="s">
        <v>774</v>
      </c>
      <c r="K74" s="218">
        <v>41500</v>
      </c>
      <c r="L74" s="138">
        <f>K74-N74</f>
        <v>0</v>
      </c>
      <c r="M74" s="119" t="s">
        <v>67</v>
      </c>
      <c r="N74" s="217">
        <f t="shared" si="34"/>
        <v>41500</v>
      </c>
      <c r="O74" s="120">
        <f>2000+2850+800+200+250+650</f>
        <v>6750</v>
      </c>
      <c r="P74" s="121">
        <f>N74+O74</f>
        <v>48250</v>
      </c>
      <c r="Q74" s="230"/>
      <c r="R74" s="118" t="s">
        <v>440</v>
      </c>
      <c r="S74" s="22">
        <v>3000</v>
      </c>
      <c r="T74" s="22">
        <f t="shared" si="44"/>
        <v>51250</v>
      </c>
      <c r="U74" s="22">
        <f t="shared" si="40"/>
        <v>73214.285714285725</v>
      </c>
      <c r="V74" s="23">
        <f t="shared" si="41"/>
        <v>83673.469387755118</v>
      </c>
      <c r="W74" s="24">
        <f t="shared" si="42"/>
        <v>0.12500000000000006</v>
      </c>
      <c r="X74" s="23">
        <f t="shared" si="50"/>
        <v>83700</v>
      </c>
      <c r="Y74" s="164">
        <f t="shared" si="45"/>
        <v>0.34097560975609764</v>
      </c>
      <c r="Z74" s="147"/>
      <c r="AD74" s="157"/>
      <c r="AE74" s="147"/>
      <c r="AF74" s="147"/>
    </row>
    <row r="75" spans="1:76" s="118" customFormat="1">
      <c r="B75" s="107">
        <v>494</v>
      </c>
      <c r="C75" s="118" t="s">
        <v>816</v>
      </c>
      <c r="D75" s="119" t="str">
        <f t="shared" si="46"/>
        <v xml:space="preserve"> 893</v>
      </c>
      <c r="E75" s="291" t="s">
        <v>816</v>
      </c>
      <c r="F75" s="101">
        <f t="shared" si="47"/>
        <v>0</v>
      </c>
      <c r="G75" s="118" t="s">
        <v>68</v>
      </c>
      <c r="H75" s="119" t="str">
        <f t="shared" si="48"/>
        <v xml:space="preserve">LOZ </v>
      </c>
      <c r="I75" s="118" t="s">
        <v>870</v>
      </c>
      <c r="J75" s="118" t="s">
        <v>762</v>
      </c>
      <c r="K75" s="218">
        <v>27000</v>
      </c>
      <c r="L75" s="138">
        <f>K75-N75</f>
        <v>0</v>
      </c>
      <c r="M75" s="119" t="s">
        <v>67</v>
      </c>
      <c r="N75" s="217">
        <f t="shared" si="34"/>
        <v>27000</v>
      </c>
      <c r="O75" s="120">
        <f>2000+2850+800+200+250+800</f>
        <v>6900</v>
      </c>
      <c r="P75" s="121">
        <f>N75+O75</f>
        <v>33900</v>
      </c>
      <c r="Q75" s="230"/>
      <c r="R75" s="118" t="s">
        <v>443</v>
      </c>
      <c r="S75" s="22">
        <v>6500</v>
      </c>
      <c r="T75" s="22">
        <f t="shared" si="44"/>
        <v>40400</v>
      </c>
      <c r="U75" s="22">
        <f t="shared" si="40"/>
        <v>57714.285714285717</v>
      </c>
      <c r="V75" s="23">
        <f t="shared" si="41"/>
        <v>65959.183673469393</v>
      </c>
      <c r="W75" s="24">
        <f t="shared" si="42"/>
        <v>0.12500000000000003</v>
      </c>
      <c r="X75" s="23">
        <f t="shared" si="50"/>
        <v>66000</v>
      </c>
      <c r="Y75" s="164">
        <f t="shared" si="45"/>
        <v>0.41262376237623766</v>
      </c>
      <c r="Z75" s="244">
        <v>54929</v>
      </c>
      <c r="AA75" s="256">
        <f t="shared" ref="AA75:AA76" si="51">U75-Z75</f>
        <v>2785.2857142857174</v>
      </c>
      <c r="AB75" s="189">
        <f t="shared" ref="AB75:AB76" si="52">AA75/Z75</f>
        <v>5.0707016590247726E-2</v>
      </c>
      <c r="AD75" s="157"/>
      <c r="AE75" s="147"/>
      <c r="AF75" s="147"/>
    </row>
    <row r="76" spans="1:76" s="118" customFormat="1">
      <c r="A76" s="118" t="s">
        <v>855</v>
      </c>
      <c r="B76" s="107">
        <v>495</v>
      </c>
      <c r="C76" s="118" t="s">
        <v>817</v>
      </c>
      <c r="D76" s="119" t="str">
        <f t="shared" si="46"/>
        <v xml:space="preserve"> 979</v>
      </c>
      <c r="E76" s="291" t="s">
        <v>817</v>
      </c>
      <c r="F76" s="101">
        <f t="shared" si="47"/>
        <v>0</v>
      </c>
      <c r="G76" s="118" t="s">
        <v>68</v>
      </c>
      <c r="H76" s="119" t="str">
        <f t="shared" si="48"/>
        <v xml:space="preserve">LIY </v>
      </c>
      <c r="I76" s="118" t="s">
        <v>870</v>
      </c>
      <c r="J76" s="118" t="s">
        <v>787</v>
      </c>
      <c r="K76" s="241">
        <v>46000</v>
      </c>
      <c r="L76" s="138">
        <f>K76-N76</f>
        <v>0</v>
      </c>
      <c r="M76" s="119" t="s">
        <v>67</v>
      </c>
      <c r="N76" s="120">
        <f t="shared" si="34"/>
        <v>46000</v>
      </c>
      <c r="O76" s="120">
        <f>2000+2850+800+200+250+800</f>
        <v>6900</v>
      </c>
      <c r="P76" s="245">
        <f>N76+O76</f>
        <v>52900</v>
      </c>
      <c r="Q76" s="230" t="s">
        <v>777</v>
      </c>
      <c r="R76" s="118" t="s">
        <v>443</v>
      </c>
      <c r="S76" s="22">
        <v>3500</v>
      </c>
      <c r="T76" s="22">
        <f t="shared" si="44"/>
        <v>56400</v>
      </c>
      <c r="U76" s="22">
        <f t="shared" si="40"/>
        <v>80571.42857142858</v>
      </c>
      <c r="V76" s="23">
        <f t="shared" si="41"/>
        <v>92081.632653061228</v>
      </c>
      <c r="W76" s="24">
        <f t="shared" si="42"/>
        <v>0.12499999999999994</v>
      </c>
      <c r="X76" s="23">
        <f t="shared" si="50"/>
        <v>92100</v>
      </c>
      <c r="Y76" s="164">
        <f t="shared" si="45"/>
        <v>0.34343971631205683</v>
      </c>
      <c r="Z76" s="244">
        <v>77857</v>
      </c>
      <c r="AA76" s="256">
        <f t="shared" si="51"/>
        <v>2714.4285714285797</v>
      </c>
      <c r="AB76" s="189">
        <f t="shared" si="52"/>
        <v>3.4864284154649934E-2</v>
      </c>
      <c r="AD76" s="157">
        <f>AVERAGE(Y76,Y75,Y74)</f>
        <v>0.36567969614813073</v>
      </c>
      <c r="AE76" s="147">
        <f>AVERAGE(U76,U75,U74)</f>
        <v>70500</v>
      </c>
      <c r="AF76" s="28">
        <v>75513.399999999994</v>
      </c>
      <c r="AG76" s="180">
        <v>71621.428571428565</v>
      </c>
      <c r="AH76" s="181">
        <v>71571</v>
      </c>
      <c r="AI76" s="21">
        <v>3.6423877752291098E-2</v>
      </c>
      <c r="AJ76" s="44">
        <v>78472</v>
      </c>
      <c r="AK76" s="180">
        <v>72667.142857142855</v>
      </c>
      <c r="AL76" s="180">
        <v>65753</v>
      </c>
      <c r="AM76" s="21">
        <v>7.9882831698350629E-2</v>
      </c>
      <c r="AN76" s="44">
        <v>71056</v>
      </c>
      <c r="AO76" s="180">
        <v>71035.71428571429</v>
      </c>
      <c r="AP76" s="180">
        <v>62050</v>
      </c>
      <c r="AQ76" s="21">
        <v>2.8557063851175645E-4</v>
      </c>
      <c r="AR76" s="44">
        <v>83790</v>
      </c>
      <c r="AS76" s="180">
        <v>77287.142857142855</v>
      </c>
      <c r="AT76" s="180">
        <v>77288</v>
      </c>
      <c r="AU76" s="21">
        <v>8.4138925343339332E-2</v>
      </c>
      <c r="AV76" s="44">
        <v>69675</v>
      </c>
      <c r="AW76" s="180">
        <v>64875.71428571429</v>
      </c>
      <c r="AX76" s="180">
        <v>64875</v>
      </c>
      <c r="AY76" s="21">
        <v>7.3976614625767878E-2</v>
      </c>
      <c r="AZ76" s="57"/>
      <c r="BA76" s="29"/>
      <c r="BB76" s="29"/>
      <c r="BC76" s="30"/>
      <c r="BD76" s="44">
        <v>74574</v>
      </c>
      <c r="BE76" s="180">
        <v>77088</v>
      </c>
      <c r="BF76" s="180">
        <v>63050</v>
      </c>
      <c r="BG76" s="21">
        <v>-3.2612079701120796E-2</v>
      </c>
      <c r="BH76" s="55"/>
      <c r="BI76" s="180">
        <v>92750</v>
      </c>
      <c r="BJ76" s="180">
        <v>77500</v>
      </c>
      <c r="BK76" s="21">
        <v>-1</v>
      </c>
      <c r="BL76" s="55"/>
      <c r="BM76" s="180">
        <v>79705.71428571429</v>
      </c>
      <c r="BN76" s="29"/>
      <c r="BO76" s="30"/>
      <c r="BP76" s="55"/>
      <c r="BQ76" s="29"/>
      <c r="BR76" s="29"/>
      <c r="BS76" s="30"/>
      <c r="BT76" s="55"/>
      <c r="BU76" s="180">
        <v>70372.857142857145</v>
      </c>
      <c r="BV76" s="29"/>
      <c r="BW76" s="30"/>
      <c r="BX76" s="31"/>
    </row>
    <row r="77" spans="1:76" s="122" customFormat="1">
      <c r="B77" s="107">
        <v>496</v>
      </c>
      <c r="C77" s="122" t="s">
        <v>593</v>
      </c>
      <c r="D77" s="123" t="str">
        <f t="shared" si="46"/>
        <v xml:space="preserve"> 730</v>
      </c>
      <c r="E77" s="291" t="s">
        <v>593</v>
      </c>
      <c r="F77" s="101">
        <f t="shared" si="47"/>
        <v>0</v>
      </c>
      <c r="G77" s="122" t="s">
        <v>65</v>
      </c>
      <c r="H77" s="123" t="str">
        <f t="shared" si="48"/>
        <v xml:space="preserve">LJB </v>
      </c>
      <c r="I77" s="122" t="s">
        <v>871</v>
      </c>
      <c r="J77" s="113" t="s">
        <v>788</v>
      </c>
      <c r="K77" s="215">
        <v>71000</v>
      </c>
      <c r="L77" s="139">
        <f>K77-N77</f>
        <v>0</v>
      </c>
      <c r="M77" s="123" t="s">
        <v>67</v>
      </c>
      <c r="N77" s="217">
        <f t="shared" si="34"/>
        <v>71000</v>
      </c>
      <c r="O77" s="124">
        <f>2000+3450+800+200+250+700</f>
        <v>7400</v>
      </c>
      <c r="P77" s="125">
        <f>O77+N77</f>
        <v>78400</v>
      </c>
      <c r="Q77" s="231"/>
      <c r="R77" s="122" t="s">
        <v>576</v>
      </c>
      <c r="S77" s="22">
        <v>0</v>
      </c>
      <c r="T77" s="22">
        <f t="shared" si="44"/>
        <v>78400</v>
      </c>
      <c r="U77" s="22">
        <f t="shared" si="40"/>
        <v>112000</v>
      </c>
      <c r="V77" s="23">
        <f t="shared" si="41"/>
        <v>128000</v>
      </c>
      <c r="W77" s="24">
        <f t="shared" si="42"/>
        <v>0.125</v>
      </c>
      <c r="X77" s="23">
        <f t="shared" si="50"/>
        <v>128000</v>
      </c>
      <c r="Y77" s="164">
        <f t="shared" si="45"/>
        <v>0.3</v>
      </c>
      <c r="Z77" s="148"/>
      <c r="AD77" s="158"/>
      <c r="AE77" s="148"/>
      <c r="AF77" s="148"/>
    </row>
    <row r="78" spans="1:76" s="122" customFormat="1">
      <c r="B78" s="107">
        <v>497</v>
      </c>
      <c r="C78" s="122" t="s">
        <v>818</v>
      </c>
      <c r="D78" s="123" t="str">
        <f t="shared" si="46"/>
        <v xml:space="preserve"> 053</v>
      </c>
      <c r="E78" s="291" t="s">
        <v>818</v>
      </c>
      <c r="F78" s="101">
        <f t="shared" si="47"/>
        <v>0</v>
      </c>
      <c r="G78" s="122" t="s">
        <v>68</v>
      </c>
      <c r="H78" s="123" t="str">
        <f t="shared" si="48"/>
        <v xml:space="preserve">LJB </v>
      </c>
      <c r="I78" s="122" t="s">
        <v>871</v>
      </c>
      <c r="J78" s="113" t="s">
        <v>788</v>
      </c>
      <c r="K78" s="218">
        <v>68500</v>
      </c>
      <c r="L78" s="139">
        <f>K78-N78</f>
        <v>0</v>
      </c>
      <c r="M78" s="123" t="s">
        <v>67</v>
      </c>
      <c r="N78" s="217">
        <f t="shared" si="34"/>
        <v>68500</v>
      </c>
      <c r="O78" s="124">
        <f>2000+3450+800+200+250</f>
        <v>6700</v>
      </c>
      <c r="P78" s="125">
        <f>O78+N78</f>
        <v>75200</v>
      </c>
      <c r="Q78" s="231"/>
      <c r="R78" s="122" t="s">
        <v>407</v>
      </c>
      <c r="S78" s="22">
        <v>0</v>
      </c>
      <c r="T78" s="22">
        <f t="shared" si="44"/>
        <v>75200</v>
      </c>
      <c r="U78" s="22">
        <f t="shared" si="40"/>
        <v>107428.57142857143</v>
      </c>
      <c r="V78" s="23">
        <f t="shared" si="41"/>
        <v>122775.51020408164</v>
      </c>
      <c r="W78" s="24">
        <f t="shared" si="42"/>
        <v>0.12500000000000003</v>
      </c>
      <c r="X78" s="23">
        <f t="shared" si="50"/>
        <v>122800</v>
      </c>
      <c r="Y78" s="164">
        <f t="shared" si="45"/>
        <v>0.30000000000000004</v>
      </c>
      <c r="Z78" s="244">
        <v>103786</v>
      </c>
      <c r="AA78" s="256">
        <f>U78-Z78</f>
        <v>3642.5714285714348</v>
      </c>
      <c r="AB78" s="189">
        <f>AA78/Z78</f>
        <v>3.5096943986389635E-2</v>
      </c>
      <c r="AD78" s="158">
        <f>AVERAGE(Y77,Y78)</f>
        <v>0.30000000000000004</v>
      </c>
      <c r="AE78" s="148">
        <f>AVERAGE(U77,U78)</f>
        <v>109714.28571428571</v>
      </c>
      <c r="AF78" s="28">
        <v>87660</v>
      </c>
      <c r="AG78" s="180">
        <v>104071.42857142858</v>
      </c>
      <c r="AH78" s="181">
        <v>100571</v>
      </c>
      <c r="AI78" s="21">
        <v>5.5136124456646202E-2</v>
      </c>
      <c r="AJ78" s="55"/>
      <c r="AK78" s="29"/>
      <c r="AL78" s="29"/>
      <c r="AM78" s="30"/>
      <c r="AN78" s="55"/>
      <c r="AO78" s="29"/>
      <c r="AP78" s="181">
        <v>91800</v>
      </c>
      <c r="AQ78" s="30"/>
      <c r="AR78" s="55"/>
      <c r="AS78" s="29"/>
      <c r="AT78" s="29"/>
      <c r="AU78" s="30"/>
      <c r="AV78" s="55"/>
      <c r="AW78" s="29"/>
      <c r="AX78" s="29"/>
      <c r="AY78" s="30"/>
      <c r="AZ78" s="55"/>
      <c r="BA78" s="29"/>
      <c r="BB78" s="29"/>
      <c r="BC78" s="30"/>
      <c r="BD78" s="59">
        <v>87660</v>
      </c>
      <c r="BE78" s="180">
        <v>83363</v>
      </c>
      <c r="BF78" s="180">
        <v>81649</v>
      </c>
      <c r="BG78" s="21">
        <v>5.1545649748689464E-2</v>
      </c>
      <c r="BH78" s="55"/>
      <c r="BI78" s="29"/>
      <c r="BJ78" s="29"/>
      <c r="BK78" s="30"/>
      <c r="BL78" s="55"/>
      <c r="BM78" s="29"/>
      <c r="BN78" s="29"/>
      <c r="BO78" s="30"/>
      <c r="BP78" s="55"/>
      <c r="BQ78" s="29"/>
      <c r="BR78" s="29"/>
      <c r="BS78" s="30"/>
      <c r="BT78" s="55"/>
      <c r="BU78" s="29"/>
      <c r="BV78" s="180">
        <v>120960</v>
      </c>
      <c r="BW78" s="30"/>
      <c r="BX78" s="31"/>
    </row>
    <row r="79" spans="1:76" s="126" customFormat="1">
      <c r="B79" s="107">
        <v>498</v>
      </c>
      <c r="C79" s="126" t="s">
        <v>828</v>
      </c>
      <c r="D79" s="127" t="str">
        <f>REPLACE(C79,1,3, )</f>
        <v xml:space="preserve"> 308</v>
      </c>
      <c r="E79" s="291" t="s">
        <v>828</v>
      </c>
      <c r="F79" s="101">
        <f t="shared" si="47"/>
        <v>0</v>
      </c>
      <c r="G79" s="126" t="s">
        <v>65</v>
      </c>
      <c r="H79" s="127" t="str">
        <f>REPLACE(C79,5,3, )</f>
        <v xml:space="preserve">LOZ </v>
      </c>
      <c r="I79" s="126" t="s">
        <v>872</v>
      </c>
      <c r="J79" s="118" t="s">
        <v>762</v>
      </c>
      <c r="K79" s="218">
        <v>97100</v>
      </c>
      <c r="L79" s="140">
        <f>K79-P79</f>
        <v>-3250</v>
      </c>
      <c r="M79" s="127" t="s">
        <v>67</v>
      </c>
      <c r="N79" s="217">
        <f t="shared" si="34"/>
        <v>97100</v>
      </c>
      <c r="O79" s="128">
        <f>2000+800+200+250</f>
        <v>3250</v>
      </c>
      <c r="P79" s="129">
        <f>O79+N79</f>
        <v>100350</v>
      </c>
      <c r="Q79" s="232"/>
      <c r="R79" s="126" t="s">
        <v>446</v>
      </c>
      <c r="S79" s="22">
        <v>5000</v>
      </c>
      <c r="T79" s="22">
        <f t="shared" si="44"/>
        <v>105350</v>
      </c>
      <c r="U79" s="22">
        <f t="shared" si="40"/>
        <v>150500</v>
      </c>
      <c r="V79" s="23">
        <f t="shared" si="41"/>
        <v>172000</v>
      </c>
      <c r="W79" s="24">
        <f t="shared" si="42"/>
        <v>0.125</v>
      </c>
      <c r="X79" s="23">
        <f t="shared" si="50"/>
        <v>172000</v>
      </c>
      <c r="Y79" s="164">
        <f t="shared" si="45"/>
        <v>0.33322259136212623</v>
      </c>
      <c r="Z79" s="149"/>
      <c r="AD79" s="159">
        <f>Y79</f>
        <v>0.33322259136212623</v>
      </c>
      <c r="AE79" s="149">
        <f>U79</f>
        <v>150500</v>
      </c>
      <c r="AF79" s="28">
        <v>0</v>
      </c>
      <c r="AG79" s="40">
        <v>150571.42857142858</v>
      </c>
      <c r="AH79" s="169">
        <v>130929</v>
      </c>
      <c r="AI79" s="21">
        <v>-7.1157495256167535E-3</v>
      </c>
      <c r="AJ79" s="55">
        <v>0</v>
      </c>
      <c r="AK79" s="29"/>
      <c r="AL79" s="29"/>
      <c r="AM79" s="30"/>
      <c r="AN79" s="55"/>
      <c r="AO79" s="29"/>
      <c r="AP79" s="29"/>
      <c r="AQ79" s="30"/>
      <c r="AR79" s="55"/>
      <c r="AS79" s="170">
        <v>247500</v>
      </c>
      <c r="AT79" s="29"/>
      <c r="AU79" s="30"/>
      <c r="AV79" s="55"/>
      <c r="AW79" s="29"/>
      <c r="AX79" s="29"/>
      <c r="AY79" s="30"/>
      <c r="AZ79" s="55"/>
      <c r="BA79" s="29"/>
      <c r="BB79" s="29"/>
      <c r="BC79" s="30"/>
      <c r="BD79" s="55"/>
      <c r="BE79" s="180">
        <v>249480</v>
      </c>
      <c r="BF79" s="180">
        <v>262440</v>
      </c>
      <c r="BG79" s="21">
        <v>-1</v>
      </c>
      <c r="BH79" s="55"/>
      <c r="BI79" s="29"/>
      <c r="BJ79" s="29"/>
      <c r="BK79" s="30"/>
      <c r="BL79" s="55"/>
      <c r="BM79" s="29"/>
      <c r="BN79" s="29"/>
      <c r="BO79" s="30"/>
      <c r="BP79" s="55"/>
      <c r="BQ79" s="29"/>
      <c r="BR79" s="29"/>
      <c r="BS79" s="30"/>
      <c r="BT79" s="55"/>
      <c r="BU79" s="29"/>
      <c r="BV79" s="29"/>
      <c r="BW79" s="30"/>
      <c r="BX79" s="31"/>
    </row>
    <row r="80" spans="1:76" s="130" customFormat="1">
      <c r="B80" s="107">
        <v>499</v>
      </c>
      <c r="C80" s="130" t="s">
        <v>819</v>
      </c>
      <c r="D80" s="131" t="str">
        <f t="shared" si="46"/>
        <v xml:space="preserve"> 567</v>
      </c>
      <c r="E80" s="291" t="s">
        <v>819</v>
      </c>
      <c r="F80" s="101">
        <f t="shared" si="47"/>
        <v>0</v>
      </c>
      <c r="G80" s="130" t="s">
        <v>68</v>
      </c>
      <c r="H80" s="131" t="str">
        <f t="shared" si="48"/>
        <v xml:space="preserve">LCP </v>
      </c>
      <c r="I80" s="130" t="s">
        <v>873</v>
      </c>
      <c r="J80" s="130" t="s">
        <v>771</v>
      </c>
      <c r="K80" s="215">
        <v>24000</v>
      </c>
      <c r="L80" s="141">
        <f>K80-N80</f>
        <v>0</v>
      </c>
      <c r="M80" s="131" t="s">
        <v>67</v>
      </c>
      <c r="N80" s="217">
        <f t="shared" si="34"/>
        <v>24000</v>
      </c>
      <c r="O80" s="132">
        <f>2000+1600+800+200</f>
        <v>4600</v>
      </c>
      <c r="P80" s="133">
        <f>O80+N80</f>
        <v>28600</v>
      </c>
      <c r="Q80" s="233"/>
      <c r="R80" s="130" t="s">
        <v>452</v>
      </c>
      <c r="S80" s="22">
        <v>4000</v>
      </c>
      <c r="T80" s="22">
        <f t="shared" si="44"/>
        <v>32600</v>
      </c>
      <c r="U80" s="22">
        <f t="shared" si="40"/>
        <v>46571.428571428572</v>
      </c>
      <c r="V80" s="23">
        <f t="shared" si="41"/>
        <v>53224.489795918365</v>
      </c>
      <c r="W80" s="24">
        <f t="shared" si="42"/>
        <v>0.12499999999999994</v>
      </c>
      <c r="X80" s="23">
        <f t="shared" si="50"/>
        <v>53300</v>
      </c>
      <c r="Y80" s="164">
        <f t="shared" si="45"/>
        <v>0.38588957055214723</v>
      </c>
      <c r="Z80" s="244">
        <v>43286</v>
      </c>
      <c r="AA80" s="256">
        <f t="shared" ref="AA80:AA84" si="53">U80-Z80</f>
        <v>3285.4285714285725</v>
      </c>
      <c r="AB80" s="189">
        <f t="shared" ref="AB80:AB84" si="54">AA80/Z80</f>
        <v>7.5900489105682492E-2</v>
      </c>
      <c r="AD80" s="160"/>
      <c r="AE80" s="150"/>
      <c r="AF80" s="150"/>
    </row>
    <row r="81" spans="2:32" s="130" customFormat="1">
      <c r="B81" s="107">
        <v>500</v>
      </c>
      <c r="C81" s="130" t="s">
        <v>820</v>
      </c>
      <c r="D81" s="131" t="str">
        <f t="shared" si="46"/>
        <v xml:space="preserve"> 160</v>
      </c>
      <c r="E81" s="291" t="s">
        <v>820</v>
      </c>
      <c r="F81" s="101">
        <f t="shared" si="47"/>
        <v>0</v>
      </c>
      <c r="G81" s="130" t="s">
        <v>68</v>
      </c>
      <c r="H81" s="131" t="str">
        <f t="shared" si="48"/>
        <v xml:space="preserve">LNF </v>
      </c>
      <c r="I81" s="130" t="s">
        <v>873</v>
      </c>
      <c r="J81" s="107" t="s">
        <v>763</v>
      </c>
      <c r="K81" s="221">
        <v>25000</v>
      </c>
      <c r="L81" s="141">
        <f>K81-N81</f>
        <v>0</v>
      </c>
      <c r="M81" s="131" t="s">
        <v>67</v>
      </c>
      <c r="N81" s="222">
        <f>K81</f>
        <v>25000</v>
      </c>
      <c r="O81" s="132">
        <f t="shared" ref="O81:O97" si="55">2000+1600+800+200</f>
        <v>4600</v>
      </c>
      <c r="P81" s="134">
        <f>O81+N81</f>
        <v>29600</v>
      </c>
      <c r="Q81" s="233"/>
      <c r="R81" s="130" t="s">
        <v>452</v>
      </c>
      <c r="S81" s="22">
        <v>6000</v>
      </c>
      <c r="T81" s="22">
        <f t="shared" si="44"/>
        <v>35600</v>
      </c>
      <c r="U81" s="22">
        <f t="shared" si="40"/>
        <v>50857.142857142862</v>
      </c>
      <c r="V81" s="23">
        <f t="shared" si="41"/>
        <v>58122.448979591842</v>
      </c>
      <c r="W81" s="24">
        <f t="shared" si="42"/>
        <v>0.12499999999999999</v>
      </c>
      <c r="X81" s="23">
        <f t="shared" si="50"/>
        <v>58200</v>
      </c>
      <c r="Y81" s="164">
        <f t="shared" si="45"/>
        <v>0.4179775280898877</v>
      </c>
      <c r="Z81" s="244">
        <v>47571</v>
      </c>
      <c r="AA81" s="256">
        <f t="shared" si="53"/>
        <v>3286.1428571428623</v>
      </c>
      <c r="AB81" s="189">
        <f t="shared" si="54"/>
        <v>6.9078700408712501E-2</v>
      </c>
      <c r="AD81" s="160"/>
      <c r="AE81" s="150"/>
      <c r="AF81" s="150"/>
    </row>
    <row r="82" spans="2:32" s="130" customFormat="1">
      <c r="B82" s="107">
        <v>501</v>
      </c>
      <c r="C82" s="130" t="s">
        <v>821</v>
      </c>
      <c r="D82" s="131" t="str">
        <f t="shared" si="46"/>
        <v xml:space="preserve"> 468</v>
      </c>
      <c r="E82" s="291" t="s">
        <v>821</v>
      </c>
      <c r="F82" s="101">
        <f t="shared" si="47"/>
        <v>0</v>
      </c>
      <c r="G82" s="130" t="s">
        <v>68</v>
      </c>
      <c r="H82" s="131" t="str">
        <f t="shared" si="48"/>
        <v xml:space="preserve">LDY </v>
      </c>
      <c r="I82" s="130" t="s">
        <v>873</v>
      </c>
      <c r="J82" s="130" t="s">
        <v>753</v>
      </c>
      <c r="K82" s="218">
        <v>27500</v>
      </c>
      <c r="L82" s="141">
        <f>K82-N82</f>
        <v>4600</v>
      </c>
      <c r="M82" s="131" t="s">
        <v>69</v>
      </c>
      <c r="N82" s="132">
        <f>K82-O82</f>
        <v>22900</v>
      </c>
      <c r="O82" s="132">
        <f t="shared" si="55"/>
        <v>4600</v>
      </c>
      <c r="P82" s="219">
        <f>N82+O82</f>
        <v>27500</v>
      </c>
      <c r="Q82" s="233"/>
      <c r="R82" s="130" t="s">
        <v>452</v>
      </c>
      <c r="S82" s="22">
        <v>5000</v>
      </c>
      <c r="T82" s="22">
        <f t="shared" si="44"/>
        <v>32500</v>
      </c>
      <c r="U82" s="22">
        <f t="shared" si="40"/>
        <v>46428.571428571435</v>
      </c>
      <c r="V82" s="23">
        <f t="shared" si="41"/>
        <v>53061.224489795924</v>
      </c>
      <c r="W82" s="24">
        <f t="shared" si="42"/>
        <v>0.12499999999999999</v>
      </c>
      <c r="X82" s="23">
        <f t="shared" si="50"/>
        <v>53100</v>
      </c>
      <c r="Y82" s="164">
        <f t="shared" si="45"/>
        <v>0.4076923076923078</v>
      </c>
      <c r="Z82" s="244">
        <v>44286</v>
      </c>
      <c r="AA82" s="256">
        <f t="shared" si="53"/>
        <v>2142.5714285714348</v>
      </c>
      <c r="AB82" s="189">
        <f t="shared" si="54"/>
        <v>4.8380333030109621E-2</v>
      </c>
      <c r="AD82" s="160"/>
      <c r="AE82" s="150"/>
      <c r="AF82" s="150"/>
    </row>
    <row r="83" spans="2:32" s="130" customFormat="1">
      <c r="B83" s="107">
        <v>502</v>
      </c>
      <c r="C83" s="130" t="s">
        <v>822</v>
      </c>
      <c r="D83" s="131" t="str">
        <f t="shared" si="46"/>
        <v xml:space="preserve"> 456</v>
      </c>
      <c r="E83" s="291" t="s">
        <v>822</v>
      </c>
      <c r="F83" s="101">
        <f t="shared" si="47"/>
        <v>0</v>
      </c>
      <c r="G83" s="130" t="s">
        <v>68</v>
      </c>
      <c r="H83" s="131" t="str">
        <f t="shared" si="48"/>
        <v xml:space="preserve">LPU </v>
      </c>
      <c r="I83" s="130" t="s">
        <v>873</v>
      </c>
      <c r="J83" s="130" t="s">
        <v>756</v>
      </c>
      <c r="K83" s="218">
        <v>27500</v>
      </c>
      <c r="L83" s="141">
        <f>K83-N83</f>
        <v>4600</v>
      </c>
      <c r="M83" s="131" t="s">
        <v>69</v>
      </c>
      <c r="N83" s="132">
        <f>K83-O83</f>
        <v>22900</v>
      </c>
      <c r="O83" s="132">
        <f t="shared" si="55"/>
        <v>4600</v>
      </c>
      <c r="P83" s="219">
        <f>N83+O83</f>
        <v>27500</v>
      </c>
      <c r="Q83" s="233"/>
      <c r="R83" s="130" t="s">
        <v>452</v>
      </c>
      <c r="S83" s="22">
        <v>5000</v>
      </c>
      <c r="T83" s="22">
        <f t="shared" si="44"/>
        <v>32500</v>
      </c>
      <c r="U83" s="22">
        <f t="shared" si="40"/>
        <v>46428.571428571435</v>
      </c>
      <c r="V83" s="23">
        <f t="shared" si="41"/>
        <v>53061.224489795924</v>
      </c>
      <c r="W83" s="24">
        <f t="shared" si="42"/>
        <v>0.12499999999999999</v>
      </c>
      <c r="X83" s="23">
        <f t="shared" si="50"/>
        <v>53100</v>
      </c>
      <c r="Y83" s="164">
        <f t="shared" si="45"/>
        <v>0.4076923076923078</v>
      </c>
      <c r="Z83" s="244">
        <v>44286</v>
      </c>
      <c r="AA83" s="256">
        <f t="shared" si="53"/>
        <v>2142.5714285714348</v>
      </c>
      <c r="AB83" s="189">
        <f t="shared" si="54"/>
        <v>4.8380333030109621E-2</v>
      </c>
      <c r="AD83" s="160"/>
      <c r="AE83" s="150"/>
      <c r="AF83" s="150"/>
    </row>
    <row r="84" spans="2:32" s="130" customFormat="1">
      <c r="B84" s="107">
        <v>503</v>
      </c>
      <c r="C84" s="130" t="s">
        <v>823</v>
      </c>
      <c r="D84" s="131" t="str">
        <f t="shared" si="46"/>
        <v xml:space="preserve"> 746</v>
      </c>
      <c r="E84" s="291" t="s">
        <v>823</v>
      </c>
      <c r="F84" s="101">
        <f t="shared" si="47"/>
        <v>0</v>
      </c>
      <c r="G84" s="130" t="s">
        <v>68</v>
      </c>
      <c r="H84" s="131" t="str">
        <f t="shared" si="48"/>
        <v xml:space="preserve">LNF </v>
      </c>
      <c r="I84" s="130" t="s">
        <v>873</v>
      </c>
      <c r="J84" s="107" t="s">
        <v>763</v>
      </c>
      <c r="K84" s="221">
        <v>26000</v>
      </c>
      <c r="L84" s="141">
        <f>K84-P84</f>
        <v>-4600</v>
      </c>
      <c r="M84" s="131" t="s">
        <v>67</v>
      </c>
      <c r="N84" s="222">
        <f>K84</f>
        <v>26000</v>
      </c>
      <c r="O84" s="132">
        <f t="shared" si="55"/>
        <v>4600</v>
      </c>
      <c r="P84" s="133">
        <f>N84+O84</f>
        <v>30600</v>
      </c>
      <c r="Q84" s="233"/>
      <c r="R84" s="130" t="s">
        <v>452</v>
      </c>
      <c r="S84" s="22">
        <v>6000</v>
      </c>
      <c r="T84" s="22">
        <f t="shared" si="44"/>
        <v>36600</v>
      </c>
      <c r="U84" s="22">
        <f t="shared" si="40"/>
        <v>52285.71428571429</v>
      </c>
      <c r="V84" s="23">
        <f t="shared" si="41"/>
        <v>59755.102040816331</v>
      </c>
      <c r="W84" s="24">
        <f t="shared" si="42"/>
        <v>0.125</v>
      </c>
      <c r="X84" s="23">
        <f t="shared" si="50"/>
        <v>59800</v>
      </c>
      <c r="Y84" s="164">
        <f t="shared" si="45"/>
        <v>0.4147540983606558</v>
      </c>
      <c r="Z84" s="244">
        <v>49000</v>
      </c>
      <c r="AA84" s="256">
        <f t="shared" si="53"/>
        <v>3285.7142857142899</v>
      </c>
      <c r="AB84" s="189">
        <f t="shared" si="54"/>
        <v>6.7055393586005915E-2</v>
      </c>
      <c r="AD84" s="160"/>
      <c r="AE84" s="150"/>
      <c r="AF84" s="150"/>
    </row>
    <row r="85" spans="2:32" s="130" customFormat="1">
      <c r="B85" s="107">
        <v>504</v>
      </c>
      <c r="C85" s="130" t="s">
        <v>772</v>
      </c>
      <c r="D85" s="131" t="str">
        <f t="shared" si="46"/>
        <v xml:space="preserve"> 139</v>
      </c>
      <c r="E85" s="291" t="s">
        <v>772</v>
      </c>
      <c r="F85" s="101">
        <f t="shared" si="47"/>
        <v>0</v>
      </c>
      <c r="G85" s="130" t="s">
        <v>65</v>
      </c>
      <c r="H85" s="131" t="str">
        <f t="shared" si="48"/>
        <v xml:space="preserve">LST </v>
      </c>
      <c r="I85" s="130" t="s">
        <v>873</v>
      </c>
      <c r="J85" s="130" t="s">
        <v>773</v>
      </c>
      <c r="K85" s="218">
        <v>27500</v>
      </c>
      <c r="L85" s="141">
        <f t="shared" ref="L85:L93" si="56">K85-N85</f>
        <v>5250</v>
      </c>
      <c r="M85" s="131" t="s">
        <v>69</v>
      </c>
      <c r="N85" s="132">
        <f t="shared" ref="N85:N93" si="57">K85-O85</f>
        <v>22250</v>
      </c>
      <c r="O85" s="132">
        <f>2000+1600+800+200+650</f>
        <v>5250</v>
      </c>
      <c r="P85" s="219">
        <f>N85+O85</f>
        <v>27500</v>
      </c>
      <c r="Q85" s="233"/>
      <c r="R85" s="130" t="s">
        <v>594</v>
      </c>
      <c r="S85" s="22">
        <v>3000</v>
      </c>
      <c r="T85" s="22">
        <f t="shared" si="44"/>
        <v>30500</v>
      </c>
      <c r="U85" s="22">
        <f t="shared" si="40"/>
        <v>43571.428571428572</v>
      </c>
      <c r="V85" s="23">
        <f t="shared" si="41"/>
        <v>49795.918367346938</v>
      </c>
      <c r="W85" s="24">
        <f t="shared" si="42"/>
        <v>0.12499999999999996</v>
      </c>
      <c r="X85" s="23">
        <f t="shared" si="50"/>
        <v>49800</v>
      </c>
      <c r="Y85" s="164">
        <f t="shared" si="45"/>
        <v>0.36885245901639346</v>
      </c>
      <c r="Z85" s="150"/>
      <c r="AD85" s="160"/>
      <c r="AE85" s="150"/>
      <c r="AF85" s="150"/>
    </row>
    <row r="86" spans="2:32" s="130" customFormat="1">
      <c r="B86" s="107">
        <v>505</v>
      </c>
      <c r="C86" s="255" t="s">
        <v>878</v>
      </c>
      <c r="D86" s="131" t="str">
        <f t="shared" si="46"/>
        <v xml:space="preserve"> 202</v>
      </c>
      <c r="E86" s="291" t="s">
        <v>878</v>
      </c>
      <c r="F86" s="101">
        <f t="shared" si="47"/>
        <v>0</v>
      </c>
      <c r="G86" s="130" t="s">
        <v>65</v>
      </c>
      <c r="H86" s="131" t="str">
        <f t="shared" si="48"/>
        <v xml:space="preserve">LKP </v>
      </c>
      <c r="I86" s="130" t="s">
        <v>873</v>
      </c>
      <c r="J86" s="130" t="s">
        <v>543</v>
      </c>
      <c r="K86" s="130">
        <v>28000</v>
      </c>
      <c r="L86" s="141">
        <f t="shared" si="56"/>
        <v>5250</v>
      </c>
      <c r="M86" s="131" t="s">
        <v>69</v>
      </c>
      <c r="N86" s="132">
        <f t="shared" si="57"/>
        <v>22750</v>
      </c>
      <c r="O86" s="132">
        <f>2000+1600+800+200+650</f>
        <v>5250</v>
      </c>
      <c r="P86" s="134">
        <f>O86+N86</f>
        <v>28000</v>
      </c>
      <c r="Q86" s="233" t="s">
        <v>777</v>
      </c>
      <c r="R86" s="130" t="s">
        <v>594</v>
      </c>
      <c r="S86" s="22">
        <v>3000</v>
      </c>
      <c r="T86" s="22">
        <f t="shared" si="44"/>
        <v>31000</v>
      </c>
      <c r="U86" s="22">
        <f t="shared" si="40"/>
        <v>44285.71428571429</v>
      </c>
      <c r="V86" s="23">
        <f t="shared" si="41"/>
        <v>50612.244897959186</v>
      </c>
      <c r="W86" s="24">
        <f t="shared" si="42"/>
        <v>0.12499999999999996</v>
      </c>
      <c r="X86" s="23">
        <f t="shared" si="50"/>
        <v>50700</v>
      </c>
      <c r="Y86" s="164">
        <f t="shared" si="45"/>
        <v>0.36774193548387102</v>
      </c>
      <c r="Z86" s="150"/>
      <c r="AD86" s="160"/>
      <c r="AE86" s="150"/>
      <c r="AF86" s="150"/>
    </row>
    <row r="87" spans="2:32" s="130" customFormat="1">
      <c r="B87" s="107">
        <v>506</v>
      </c>
      <c r="C87" s="130" t="s">
        <v>596</v>
      </c>
      <c r="D87" s="131" t="str">
        <f t="shared" si="46"/>
        <v xml:space="preserve"> 997</v>
      </c>
      <c r="E87" s="291" t="s">
        <v>596</v>
      </c>
      <c r="F87" s="101">
        <f t="shared" si="47"/>
        <v>0</v>
      </c>
      <c r="G87" s="130" t="s">
        <v>65</v>
      </c>
      <c r="H87" s="131" t="str">
        <f t="shared" si="48"/>
        <v xml:space="preserve">LST </v>
      </c>
      <c r="I87" s="130" t="s">
        <v>873</v>
      </c>
      <c r="J87" s="130" t="s">
        <v>773</v>
      </c>
      <c r="K87" s="218">
        <v>27500</v>
      </c>
      <c r="L87" s="141">
        <f t="shared" si="56"/>
        <v>4600</v>
      </c>
      <c r="M87" s="131" t="s">
        <v>69</v>
      </c>
      <c r="N87" s="132">
        <f t="shared" si="57"/>
        <v>22900</v>
      </c>
      <c r="O87" s="132">
        <f t="shared" si="55"/>
        <v>4600</v>
      </c>
      <c r="P87" s="217">
        <f>O87+N87</f>
        <v>27500</v>
      </c>
      <c r="Q87" s="233"/>
      <c r="R87" s="130" t="s">
        <v>452</v>
      </c>
      <c r="S87" s="22">
        <v>3000</v>
      </c>
      <c r="T87" s="22">
        <f t="shared" si="44"/>
        <v>30500</v>
      </c>
      <c r="U87" s="22">
        <f t="shared" si="40"/>
        <v>43571.428571428572</v>
      </c>
      <c r="V87" s="23">
        <f t="shared" si="41"/>
        <v>49795.918367346938</v>
      </c>
      <c r="W87" s="24">
        <f t="shared" si="42"/>
        <v>0.12499999999999996</v>
      </c>
      <c r="X87" s="23">
        <f t="shared" si="50"/>
        <v>49800</v>
      </c>
      <c r="Y87" s="164">
        <f t="shared" si="45"/>
        <v>0.36885245901639346</v>
      </c>
      <c r="Z87" s="150"/>
      <c r="AD87" s="160"/>
      <c r="AE87" s="150"/>
      <c r="AF87" s="150"/>
    </row>
    <row r="88" spans="2:32" s="130" customFormat="1">
      <c r="B88" s="107">
        <v>507</v>
      </c>
      <c r="C88" s="130" t="s">
        <v>597</v>
      </c>
      <c r="D88" s="131" t="str">
        <f t="shared" si="46"/>
        <v xml:space="preserve"> 494</v>
      </c>
      <c r="E88" s="291" t="s">
        <v>597</v>
      </c>
      <c r="F88" s="101">
        <f t="shared" si="47"/>
        <v>0</v>
      </c>
      <c r="G88" s="130" t="s">
        <v>65</v>
      </c>
      <c r="H88" s="131" t="str">
        <f t="shared" si="48"/>
        <v xml:space="preserve">LMB </v>
      </c>
      <c r="I88" s="130" t="s">
        <v>873</v>
      </c>
      <c r="J88" s="130" t="s">
        <v>779</v>
      </c>
      <c r="K88" s="218">
        <v>27000</v>
      </c>
      <c r="L88" s="141">
        <f t="shared" si="56"/>
        <v>5250</v>
      </c>
      <c r="M88" s="131" t="s">
        <v>69</v>
      </c>
      <c r="N88" s="132">
        <f t="shared" si="57"/>
        <v>21750</v>
      </c>
      <c r="O88" s="132">
        <f>2000+1600+800+200+650</f>
        <v>5250</v>
      </c>
      <c r="P88" s="219">
        <f>O88+N88</f>
        <v>27000</v>
      </c>
      <c r="Q88" s="233"/>
      <c r="R88" s="130" t="s">
        <v>594</v>
      </c>
      <c r="S88" s="22">
        <v>3000</v>
      </c>
      <c r="T88" s="22">
        <f t="shared" si="44"/>
        <v>30000</v>
      </c>
      <c r="U88" s="22">
        <f t="shared" si="40"/>
        <v>42857.142857142862</v>
      </c>
      <c r="V88" s="23">
        <f t="shared" si="41"/>
        <v>48979.591836734697</v>
      </c>
      <c r="W88" s="24">
        <f t="shared" si="42"/>
        <v>0.12499999999999994</v>
      </c>
      <c r="X88" s="23">
        <f t="shared" si="50"/>
        <v>49000</v>
      </c>
      <c r="Y88" s="164">
        <f t="shared" si="45"/>
        <v>0.37000000000000005</v>
      </c>
      <c r="Z88" s="150"/>
      <c r="AD88" s="160"/>
      <c r="AE88" s="150"/>
      <c r="AF88" s="150"/>
    </row>
    <row r="89" spans="2:32" s="130" customFormat="1">
      <c r="B89" s="107">
        <v>508</v>
      </c>
      <c r="C89" s="130" t="s">
        <v>598</v>
      </c>
      <c r="D89" s="131" t="str">
        <f t="shared" si="46"/>
        <v xml:space="preserve"> 935</v>
      </c>
      <c r="E89" s="291" t="s">
        <v>598</v>
      </c>
      <c r="F89" s="101">
        <f t="shared" si="47"/>
        <v>0</v>
      </c>
      <c r="G89" s="130" t="s">
        <v>65</v>
      </c>
      <c r="H89" s="131" t="str">
        <f t="shared" si="48"/>
        <v xml:space="preserve">LDY </v>
      </c>
      <c r="I89" s="130" t="s">
        <v>873</v>
      </c>
      <c r="J89" s="130" t="s">
        <v>753</v>
      </c>
      <c r="K89" s="218">
        <v>27500</v>
      </c>
      <c r="L89" s="141">
        <f t="shared" si="56"/>
        <v>4600</v>
      </c>
      <c r="M89" s="131" t="s">
        <v>69</v>
      </c>
      <c r="N89" s="132">
        <f t="shared" si="57"/>
        <v>22900</v>
      </c>
      <c r="O89" s="132">
        <f t="shared" si="55"/>
        <v>4600</v>
      </c>
      <c r="P89" s="220">
        <f>O89+N89</f>
        <v>27500</v>
      </c>
      <c r="Q89" s="233"/>
      <c r="R89" s="130" t="s">
        <v>452</v>
      </c>
      <c r="S89" s="22">
        <v>3000</v>
      </c>
      <c r="T89" s="22">
        <f t="shared" si="44"/>
        <v>30500</v>
      </c>
      <c r="U89" s="22">
        <f t="shared" si="40"/>
        <v>43571.428571428572</v>
      </c>
      <c r="V89" s="23">
        <f t="shared" si="41"/>
        <v>49795.918367346938</v>
      </c>
      <c r="W89" s="24">
        <f t="shared" si="42"/>
        <v>0.12499999999999996</v>
      </c>
      <c r="X89" s="23">
        <f t="shared" si="50"/>
        <v>49800</v>
      </c>
      <c r="Y89" s="164">
        <f t="shared" si="45"/>
        <v>0.36885245901639346</v>
      </c>
      <c r="Z89" s="150"/>
      <c r="AD89" s="160"/>
      <c r="AE89" s="150"/>
      <c r="AF89" s="150"/>
    </row>
    <row r="90" spans="2:32" s="130" customFormat="1">
      <c r="B90" s="107">
        <v>509</v>
      </c>
      <c r="C90" s="130" t="s">
        <v>599</v>
      </c>
      <c r="D90" s="131" t="str">
        <f t="shared" si="46"/>
        <v xml:space="preserve"> 359</v>
      </c>
      <c r="E90" s="291" t="s">
        <v>599</v>
      </c>
      <c r="F90" s="101">
        <f t="shared" si="47"/>
        <v>0</v>
      </c>
      <c r="G90" s="130" t="s">
        <v>65</v>
      </c>
      <c r="H90" s="131" t="str">
        <f t="shared" si="48"/>
        <v xml:space="preserve">LDY </v>
      </c>
      <c r="I90" s="130" t="s">
        <v>873</v>
      </c>
      <c r="J90" s="130" t="s">
        <v>753</v>
      </c>
      <c r="K90" s="218">
        <v>27500</v>
      </c>
      <c r="L90" s="141">
        <f t="shared" si="56"/>
        <v>4600</v>
      </c>
      <c r="M90" s="131" t="s">
        <v>69</v>
      </c>
      <c r="N90" s="132">
        <f t="shared" si="57"/>
        <v>22900</v>
      </c>
      <c r="O90" s="132">
        <f t="shared" si="55"/>
        <v>4600</v>
      </c>
      <c r="P90" s="220">
        <f>N90+O90</f>
        <v>27500</v>
      </c>
      <c r="Q90" s="233"/>
      <c r="R90" s="130" t="s">
        <v>452</v>
      </c>
      <c r="S90" s="22">
        <v>3000</v>
      </c>
      <c r="T90" s="22">
        <f t="shared" si="44"/>
        <v>30500</v>
      </c>
      <c r="U90" s="22">
        <f t="shared" si="40"/>
        <v>43571.428571428572</v>
      </c>
      <c r="V90" s="23">
        <f t="shared" si="41"/>
        <v>49795.918367346938</v>
      </c>
      <c r="W90" s="24">
        <f t="shared" si="42"/>
        <v>0.12499999999999996</v>
      </c>
      <c r="X90" s="23">
        <f t="shared" si="50"/>
        <v>49800</v>
      </c>
      <c r="Y90" s="164">
        <f t="shared" si="45"/>
        <v>0.36885245901639346</v>
      </c>
      <c r="Z90" s="150"/>
      <c r="AD90" s="160"/>
      <c r="AE90" s="150"/>
      <c r="AF90" s="150"/>
    </row>
    <row r="91" spans="2:32" s="130" customFormat="1">
      <c r="B91" s="107">
        <v>510</v>
      </c>
      <c r="C91" s="255" t="s">
        <v>879</v>
      </c>
      <c r="D91" s="131" t="str">
        <f t="shared" si="46"/>
        <v xml:space="preserve"> 292</v>
      </c>
      <c r="E91" s="291" t="s">
        <v>879</v>
      </c>
      <c r="F91" s="101">
        <f t="shared" si="47"/>
        <v>0</v>
      </c>
      <c r="G91" s="130" t="s">
        <v>65</v>
      </c>
      <c r="H91" s="131" t="str">
        <f t="shared" si="48"/>
        <v xml:space="preserve">LPU </v>
      </c>
      <c r="I91" s="130" t="s">
        <v>873</v>
      </c>
      <c r="J91" s="130" t="s">
        <v>756</v>
      </c>
      <c r="K91" s="218">
        <v>28000</v>
      </c>
      <c r="L91" s="141">
        <f t="shared" si="56"/>
        <v>4600</v>
      </c>
      <c r="M91" s="131" t="s">
        <v>69</v>
      </c>
      <c r="N91" s="132">
        <f t="shared" si="57"/>
        <v>23400</v>
      </c>
      <c r="O91" s="132">
        <f t="shared" si="55"/>
        <v>4600</v>
      </c>
      <c r="P91" s="220">
        <f>O91+N91</f>
        <v>28000</v>
      </c>
      <c r="Q91" s="233"/>
      <c r="R91" s="130" t="s">
        <v>452</v>
      </c>
      <c r="S91" s="22">
        <v>3000</v>
      </c>
      <c r="T91" s="22">
        <f t="shared" si="44"/>
        <v>31000</v>
      </c>
      <c r="U91" s="22">
        <f t="shared" si="40"/>
        <v>44285.71428571429</v>
      </c>
      <c r="V91" s="23">
        <f t="shared" si="41"/>
        <v>50612.244897959186</v>
      </c>
      <c r="W91" s="24">
        <f t="shared" si="42"/>
        <v>0.12499999999999996</v>
      </c>
      <c r="X91" s="23">
        <f t="shared" si="50"/>
        <v>50700</v>
      </c>
      <c r="Y91" s="164">
        <f t="shared" si="45"/>
        <v>0.36774193548387102</v>
      </c>
      <c r="Z91" s="150"/>
      <c r="AD91" s="160"/>
      <c r="AE91" s="150"/>
      <c r="AF91" s="150"/>
    </row>
    <row r="92" spans="2:32" s="130" customFormat="1">
      <c r="B92" s="107">
        <v>511</v>
      </c>
      <c r="C92" s="130" t="s">
        <v>600</v>
      </c>
      <c r="D92" s="131" t="str">
        <f t="shared" si="46"/>
        <v xml:space="preserve"> 534</v>
      </c>
      <c r="E92" s="291" t="s">
        <v>600</v>
      </c>
      <c r="F92" s="101">
        <f t="shared" si="47"/>
        <v>0</v>
      </c>
      <c r="G92" s="130" t="s">
        <v>65</v>
      </c>
      <c r="H92" s="131" t="str">
        <f t="shared" si="48"/>
        <v xml:space="preserve">LPU </v>
      </c>
      <c r="I92" s="130" t="s">
        <v>873</v>
      </c>
      <c r="J92" s="130" t="s">
        <v>756</v>
      </c>
      <c r="K92" s="218">
        <v>28000</v>
      </c>
      <c r="L92" s="141">
        <f t="shared" si="56"/>
        <v>4600</v>
      </c>
      <c r="M92" s="131" t="s">
        <v>69</v>
      </c>
      <c r="N92" s="132">
        <f t="shared" si="57"/>
        <v>23400</v>
      </c>
      <c r="O92" s="132">
        <f t="shared" si="55"/>
        <v>4600</v>
      </c>
      <c r="P92" s="219">
        <f>N92+O92</f>
        <v>28000</v>
      </c>
      <c r="Q92" s="233"/>
      <c r="R92" s="130" t="s">
        <v>452</v>
      </c>
      <c r="S92" s="22">
        <v>3000</v>
      </c>
      <c r="T92" s="22">
        <f t="shared" si="44"/>
        <v>31000</v>
      </c>
      <c r="U92" s="22">
        <f t="shared" si="40"/>
        <v>44285.71428571429</v>
      </c>
      <c r="V92" s="23">
        <f t="shared" si="41"/>
        <v>50612.244897959186</v>
      </c>
      <c r="W92" s="24">
        <f t="shared" si="42"/>
        <v>0.12499999999999996</v>
      </c>
      <c r="X92" s="23">
        <f t="shared" si="50"/>
        <v>50700</v>
      </c>
      <c r="Y92" s="164">
        <f t="shared" si="45"/>
        <v>0.36774193548387102</v>
      </c>
      <c r="Z92" s="150"/>
      <c r="AD92" s="160"/>
      <c r="AE92" s="150"/>
      <c r="AF92" s="150"/>
    </row>
    <row r="93" spans="2:32" s="130" customFormat="1">
      <c r="B93" s="107">
        <v>512</v>
      </c>
      <c r="C93" s="130" t="s">
        <v>601</v>
      </c>
      <c r="D93" s="131" t="str">
        <f t="shared" si="46"/>
        <v xml:space="preserve"> 405</v>
      </c>
      <c r="E93" s="291" t="s">
        <v>601</v>
      </c>
      <c r="F93" s="101">
        <f t="shared" si="47"/>
        <v>0</v>
      </c>
      <c r="G93" s="130" t="s">
        <v>65</v>
      </c>
      <c r="H93" s="131" t="str">
        <f t="shared" si="48"/>
        <v xml:space="preserve">LPU </v>
      </c>
      <c r="I93" s="130" t="s">
        <v>873</v>
      </c>
      <c r="J93" s="130" t="s">
        <v>756</v>
      </c>
      <c r="K93" s="218">
        <v>28000</v>
      </c>
      <c r="L93" s="141">
        <f t="shared" si="56"/>
        <v>4600</v>
      </c>
      <c r="M93" s="131" t="s">
        <v>69</v>
      </c>
      <c r="N93" s="132">
        <f t="shared" si="57"/>
        <v>23400</v>
      </c>
      <c r="O93" s="132">
        <f t="shared" si="55"/>
        <v>4600</v>
      </c>
      <c r="P93" s="219">
        <f>N93+O93</f>
        <v>28000</v>
      </c>
      <c r="Q93" s="233"/>
      <c r="R93" s="130" t="s">
        <v>452</v>
      </c>
      <c r="S93" s="22">
        <v>3000</v>
      </c>
      <c r="T93" s="22">
        <f t="shared" si="44"/>
        <v>31000</v>
      </c>
      <c r="U93" s="22">
        <f t="shared" si="40"/>
        <v>44285.71428571429</v>
      </c>
      <c r="V93" s="23">
        <f t="shared" si="41"/>
        <v>50612.244897959186</v>
      </c>
      <c r="W93" s="24">
        <f t="shared" si="42"/>
        <v>0.12499999999999996</v>
      </c>
      <c r="X93" s="23">
        <f t="shared" si="50"/>
        <v>50700</v>
      </c>
      <c r="Y93" s="164">
        <f t="shared" si="45"/>
        <v>0.36774193548387102</v>
      </c>
      <c r="Z93" s="150"/>
      <c r="AD93" s="160"/>
      <c r="AE93" s="150"/>
      <c r="AF93" s="150"/>
    </row>
    <row r="94" spans="2:32" s="130" customFormat="1">
      <c r="B94" s="107">
        <v>513</v>
      </c>
      <c r="C94" s="130" t="s">
        <v>602</v>
      </c>
      <c r="D94" s="131" t="str">
        <f t="shared" si="46"/>
        <v xml:space="preserve"> 347</v>
      </c>
      <c r="E94" s="291" t="s">
        <v>602</v>
      </c>
      <c r="F94" s="101">
        <f t="shared" si="47"/>
        <v>0</v>
      </c>
      <c r="G94" s="130" t="s">
        <v>65</v>
      </c>
      <c r="H94" s="131" t="str">
        <f t="shared" si="48"/>
        <v xml:space="preserve">LNF </v>
      </c>
      <c r="I94" s="130" t="s">
        <v>873</v>
      </c>
      <c r="J94" s="107" t="s">
        <v>763</v>
      </c>
      <c r="K94" s="221">
        <v>25000</v>
      </c>
      <c r="L94" s="141">
        <f>K94-P94</f>
        <v>-5250</v>
      </c>
      <c r="M94" s="131" t="s">
        <v>67</v>
      </c>
      <c r="N94" s="222">
        <f t="shared" ref="N94:N97" si="58">K94</f>
        <v>25000</v>
      </c>
      <c r="O94" s="132">
        <f>2000+1600+800+200+650</f>
        <v>5250</v>
      </c>
      <c r="P94" s="132">
        <f>O94+N94</f>
        <v>30250</v>
      </c>
      <c r="Q94" s="233"/>
      <c r="R94" s="130" t="s">
        <v>594</v>
      </c>
      <c r="S94" s="22">
        <v>3000</v>
      </c>
      <c r="T94" s="22">
        <f t="shared" si="44"/>
        <v>33250</v>
      </c>
      <c r="U94" s="22">
        <f t="shared" si="40"/>
        <v>47500</v>
      </c>
      <c r="V94" s="23">
        <f t="shared" si="41"/>
        <v>54285.714285714283</v>
      </c>
      <c r="W94" s="24">
        <f t="shared" si="42"/>
        <v>0.12499999999999994</v>
      </c>
      <c r="X94" s="23">
        <f t="shared" si="50"/>
        <v>54300</v>
      </c>
      <c r="Y94" s="164">
        <f t="shared" si="45"/>
        <v>0.36315789473684212</v>
      </c>
      <c r="Z94" s="150"/>
      <c r="AD94" s="160"/>
      <c r="AE94" s="150"/>
      <c r="AF94" s="150"/>
    </row>
    <row r="95" spans="2:32" s="130" customFormat="1">
      <c r="B95" s="107">
        <v>514</v>
      </c>
      <c r="C95" s="130" t="s">
        <v>603</v>
      </c>
      <c r="D95" s="131" t="str">
        <f t="shared" si="46"/>
        <v xml:space="preserve"> 793</v>
      </c>
      <c r="E95" s="291" t="s">
        <v>603</v>
      </c>
      <c r="F95" s="101">
        <f t="shared" si="47"/>
        <v>0</v>
      </c>
      <c r="G95" s="130" t="s">
        <v>65</v>
      </c>
      <c r="H95" s="131" t="str">
        <f t="shared" si="48"/>
        <v xml:space="preserve">LNF </v>
      </c>
      <c r="I95" s="130" t="s">
        <v>873</v>
      </c>
      <c r="J95" s="107" t="s">
        <v>763</v>
      </c>
      <c r="K95" s="221">
        <v>25000</v>
      </c>
      <c r="L95" s="141">
        <f>K95-N95</f>
        <v>0</v>
      </c>
      <c r="M95" s="131" t="s">
        <v>67</v>
      </c>
      <c r="N95" s="222">
        <f t="shared" si="58"/>
        <v>25000</v>
      </c>
      <c r="O95" s="132">
        <f>2000+1600+800+200+650</f>
        <v>5250</v>
      </c>
      <c r="P95" s="134">
        <f>O95+N95</f>
        <v>30250</v>
      </c>
      <c r="Q95" s="233"/>
      <c r="R95" s="130" t="s">
        <v>594</v>
      </c>
      <c r="S95" s="22">
        <v>3000</v>
      </c>
      <c r="T95" s="22">
        <f t="shared" si="44"/>
        <v>33250</v>
      </c>
      <c r="U95" s="22">
        <f t="shared" si="40"/>
        <v>47500</v>
      </c>
      <c r="V95" s="23">
        <f t="shared" si="41"/>
        <v>54285.714285714283</v>
      </c>
      <c r="W95" s="24">
        <f t="shared" si="42"/>
        <v>0.12499999999999994</v>
      </c>
      <c r="X95" s="23">
        <f t="shared" si="50"/>
        <v>54300</v>
      </c>
      <c r="Y95" s="164">
        <f t="shared" si="45"/>
        <v>0.36315789473684212</v>
      </c>
      <c r="Z95" s="150"/>
      <c r="AD95" s="160"/>
      <c r="AE95" s="150"/>
      <c r="AF95" s="150"/>
    </row>
    <row r="96" spans="2:32" s="130" customFormat="1">
      <c r="B96" s="107">
        <v>515</v>
      </c>
      <c r="C96" s="130" t="s">
        <v>604</v>
      </c>
      <c r="D96" s="131" t="str">
        <f t="shared" si="46"/>
        <v xml:space="preserve"> 117</v>
      </c>
      <c r="E96" s="291" t="s">
        <v>604</v>
      </c>
      <c r="F96" s="101">
        <f t="shared" si="47"/>
        <v>0</v>
      </c>
      <c r="G96" s="130" t="s">
        <v>65</v>
      </c>
      <c r="H96" s="131" t="str">
        <f t="shared" si="48"/>
        <v xml:space="preserve">LNF </v>
      </c>
      <c r="I96" s="130" t="s">
        <v>873</v>
      </c>
      <c r="J96" s="107" t="s">
        <v>763</v>
      </c>
      <c r="K96" s="221">
        <v>24000</v>
      </c>
      <c r="L96" s="141">
        <f>K96-P96</f>
        <v>-5250</v>
      </c>
      <c r="M96" s="131" t="s">
        <v>67</v>
      </c>
      <c r="N96" s="222">
        <f t="shared" si="58"/>
        <v>24000</v>
      </c>
      <c r="O96" s="132">
        <f>2000+1600+800+200+650</f>
        <v>5250</v>
      </c>
      <c r="P96" s="133">
        <f>O96+N96</f>
        <v>29250</v>
      </c>
      <c r="Q96" s="233"/>
      <c r="R96" s="130" t="s">
        <v>594</v>
      </c>
      <c r="S96" s="22">
        <v>3000</v>
      </c>
      <c r="T96" s="22">
        <f t="shared" si="44"/>
        <v>32250</v>
      </c>
      <c r="U96" s="22">
        <f t="shared" si="40"/>
        <v>46071.428571428572</v>
      </c>
      <c r="V96" s="23">
        <f t="shared" si="41"/>
        <v>52653.0612244898</v>
      </c>
      <c r="W96" s="24">
        <f t="shared" si="42"/>
        <v>0.12500000000000006</v>
      </c>
      <c r="X96" s="23">
        <f t="shared" si="50"/>
        <v>52700</v>
      </c>
      <c r="Y96" s="164">
        <f t="shared" si="45"/>
        <v>0.36511627906976746</v>
      </c>
      <c r="Z96" s="150"/>
      <c r="AD96" s="160"/>
      <c r="AE96" s="150"/>
      <c r="AF96" s="150"/>
    </row>
    <row r="97" spans="2:76" s="130" customFormat="1">
      <c r="B97" s="107">
        <v>516</v>
      </c>
      <c r="C97" s="130" t="s">
        <v>605</v>
      </c>
      <c r="D97" s="131" t="str">
        <f t="shared" si="46"/>
        <v xml:space="preserve"> 776</v>
      </c>
      <c r="E97" s="291" t="s">
        <v>605</v>
      </c>
      <c r="F97" s="101">
        <f t="shared" si="47"/>
        <v>0</v>
      </c>
      <c r="G97" s="130" t="s">
        <v>65</v>
      </c>
      <c r="H97" s="131" t="str">
        <f t="shared" si="48"/>
        <v xml:space="preserve">LNF </v>
      </c>
      <c r="I97" s="130" t="s">
        <v>873</v>
      </c>
      <c r="J97" s="107" t="s">
        <v>763</v>
      </c>
      <c r="K97" s="221">
        <v>25000</v>
      </c>
      <c r="L97" s="141">
        <f>K97-P97</f>
        <v>-4600</v>
      </c>
      <c r="M97" s="131" t="s">
        <v>67</v>
      </c>
      <c r="N97" s="222">
        <f t="shared" si="58"/>
        <v>25000</v>
      </c>
      <c r="O97" s="132">
        <f t="shared" si="55"/>
        <v>4600</v>
      </c>
      <c r="P97" s="133">
        <f>N97+O97</f>
        <v>29600</v>
      </c>
      <c r="Q97" s="233"/>
      <c r="R97" s="130" t="s">
        <v>452</v>
      </c>
      <c r="S97" s="22">
        <v>3000</v>
      </c>
      <c r="T97" s="22">
        <f t="shared" si="44"/>
        <v>32600</v>
      </c>
      <c r="U97" s="22">
        <f t="shared" si="40"/>
        <v>46571.428571428572</v>
      </c>
      <c r="V97" s="23">
        <f t="shared" si="41"/>
        <v>53224.489795918365</v>
      </c>
      <c r="W97" s="24">
        <f t="shared" si="42"/>
        <v>0.12499999999999994</v>
      </c>
      <c r="X97" s="23">
        <f t="shared" si="50"/>
        <v>53300</v>
      </c>
      <c r="Y97" s="164">
        <f t="shared" si="45"/>
        <v>0.36441717791411044</v>
      </c>
      <c r="Z97" s="150"/>
      <c r="AD97" s="160">
        <f>AVERAGE(Y80,Y81,Y82,Y83,Y84,Y85,Y86,Y87,Y88,Y89,Y90,Y91,Y92,Y93,Y94,Y95,Y96,Y97)</f>
        <v>0.37812403538032929</v>
      </c>
      <c r="AE97" s="150">
        <f>AVERAGE(U80,U81,U82,U83,U84,U85,U86,U87,U88,U89,U90,U91,U92,U93,U94,U95,U96,U97)</f>
        <v>45805.555555555555</v>
      </c>
      <c r="AF97" s="28">
        <v>51984.333333333336</v>
      </c>
      <c r="AG97" s="180">
        <v>45084.033613445383</v>
      </c>
      <c r="AH97" s="181">
        <v>40270</v>
      </c>
      <c r="AI97" s="21">
        <v>2.6830278554416491E-2</v>
      </c>
      <c r="AJ97" s="44">
        <v>49393</v>
      </c>
      <c r="AK97" s="180">
        <v>49792.857142857145</v>
      </c>
      <c r="AL97" s="180">
        <v>45241</v>
      </c>
      <c r="AM97" s="21">
        <v>-8.0304117056376832E-3</v>
      </c>
      <c r="AN97" s="74">
        <v>49977</v>
      </c>
      <c r="AO97" s="180">
        <v>50755.71428571429</v>
      </c>
      <c r="AP97" s="180">
        <v>41127</v>
      </c>
      <c r="AQ97" s="21">
        <v>-1.5342396352275687E-2</v>
      </c>
      <c r="AR97" s="44">
        <v>55530</v>
      </c>
      <c r="AS97" s="180">
        <v>55350</v>
      </c>
      <c r="AT97" s="29"/>
      <c r="AU97" s="21">
        <v>3.2520325203252032E-3</v>
      </c>
      <c r="AV97" s="44">
        <v>56850</v>
      </c>
      <c r="AW97" s="180">
        <v>59962.857142857145</v>
      </c>
      <c r="AX97" s="180">
        <v>59963</v>
      </c>
      <c r="AY97" s="51">
        <v>-5.1913089055129397E-2</v>
      </c>
      <c r="AZ97" s="57"/>
      <c r="BA97" s="29"/>
      <c r="BB97" s="29"/>
      <c r="BC97" s="30"/>
      <c r="BD97" s="59">
        <v>37480</v>
      </c>
      <c r="BE97" s="180">
        <v>37112</v>
      </c>
      <c r="BF97" s="180">
        <v>35531</v>
      </c>
      <c r="BG97" s="21">
        <v>9.9159301573615004E-3</v>
      </c>
      <c r="BH97" s="44">
        <v>62676</v>
      </c>
      <c r="BI97" s="180">
        <v>58250.000000000007</v>
      </c>
      <c r="BJ97" s="180">
        <v>59539</v>
      </c>
      <c r="BK97" s="21">
        <v>7.5982832618025617E-2</v>
      </c>
      <c r="BL97" s="57"/>
      <c r="BM97" s="29"/>
      <c r="BN97" s="180">
        <v>42415</v>
      </c>
      <c r="BO97" s="30"/>
      <c r="BP97" s="55"/>
      <c r="BQ97" s="29"/>
      <c r="BR97" s="29"/>
      <c r="BS97" s="30"/>
      <c r="BT97" s="55"/>
      <c r="BU97" s="180">
        <v>45861.428571428572</v>
      </c>
      <c r="BV97" s="180">
        <v>52261</v>
      </c>
      <c r="BW97" s="21">
        <v>-0.12245405615222493</v>
      </c>
      <c r="BX97" s="31"/>
    </row>
    <row r="100" spans="2:76">
      <c r="C100" s="70"/>
    </row>
    <row r="101" spans="2:76">
      <c r="C101" s="99"/>
    </row>
    <row r="102" spans="2:76">
      <c r="C102" s="67"/>
    </row>
  </sheetData>
  <autoFilter ref="A4:BX97">
    <filterColumn colId="8"/>
  </autoFilter>
  <mergeCells count="13">
    <mergeCell ref="AN3:AP3"/>
    <mergeCell ref="S3:Y3"/>
    <mergeCell ref="AC3:AE3"/>
    <mergeCell ref="AG3:AI3"/>
    <mergeCell ref="AJ3:AL3"/>
    <mergeCell ref="BT3:BV3"/>
    <mergeCell ref="AR3:AT3"/>
    <mergeCell ref="AV3:AX3"/>
    <mergeCell ref="AZ3:BB3"/>
    <mergeCell ref="BD3:BF3"/>
    <mergeCell ref="BH3:BJ3"/>
    <mergeCell ref="BL3:BN3"/>
    <mergeCell ref="BP3:BR3"/>
  </mergeCells>
  <conditionalFormatting sqref="D5:E97">
    <cfRule type="duplicateValues" dxfId="17" priority="1"/>
    <cfRule type="duplicateValues" dxfId="16" priority="2"/>
    <cfRule type="duplicateValues" dxfId="15" priority="3"/>
    <cfRule type="duplicateValues" dxfId="14" priority="4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rgb="FF00B0F0"/>
    <pageSetUpPr fitToPage="1"/>
  </sheetPr>
  <dimension ref="A2:E17"/>
  <sheetViews>
    <sheetView workbookViewId="0">
      <pane ySplit="6" topLeftCell="A7" activePane="bottomLeft" state="frozen"/>
      <selection pane="bottomLeft" activeCell="B26" sqref="B26"/>
    </sheetView>
  </sheetViews>
  <sheetFormatPr defaultColWidth="9.109375" defaultRowHeight="14.4"/>
  <cols>
    <col min="1" max="1" width="5.109375" style="77" customWidth="1"/>
    <col min="2" max="2" width="29.88671875" style="71" bestFit="1" customWidth="1"/>
    <col min="3" max="3" width="11.109375" style="75" customWidth="1"/>
    <col min="4" max="4" width="11.109375" style="76" customWidth="1"/>
    <col min="5" max="5" width="14" style="76" customWidth="1"/>
    <col min="6" max="16384" width="9.109375" style="71"/>
  </cols>
  <sheetData>
    <row r="2" spans="1:5">
      <c r="A2" s="85" t="s">
        <v>607</v>
      </c>
    </row>
    <row r="3" spans="1:5">
      <c r="A3" s="85" t="s">
        <v>539</v>
      </c>
    </row>
    <row r="4" spans="1:5" ht="3.75" customHeight="1">
      <c r="A4" s="84"/>
    </row>
    <row r="5" spans="1:5" ht="18.75" customHeight="1">
      <c r="A5" s="329" t="s">
        <v>535</v>
      </c>
      <c r="B5" s="329" t="s">
        <v>531</v>
      </c>
      <c r="C5" s="330" t="s">
        <v>536</v>
      </c>
      <c r="D5" s="330"/>
      <c r="E5" s="331" t="s">
        <v>534</v>
      </c>
    </row>
    <row r="6" spans="1:5" ht="18.75" customHeight="1">
      <c r="A6" s="329"/>
      <c r="B6" s="329"/>
      <c r="C6" s="93" t="s">
        <v>532</v>
      </c>
      <c r="D6" s="94" t="s">
        <v>533</v>
      </c>
      <c r="E6" s="332"/>
    </row>
    <row r="7" spans="1:5">
      <c r="A7" s="77">
        <v>1</v>
      </c>
      <c r="B7" s="71" t="s">
        <v>292</v>
      </c>
      <c r="C7" s="91">
        <f>'Harga Jual_BCL_Non Alas Kaki'!AD33</f>
        <v>0.33</v>
      </c>
      <c r="D7" s="78">
        <f>'Harga Jual_BCL_Non Alas Kaki'!AE33</f>
        <v>109004.92610837438</v>
      </c>
      <c r="E7" s="76">
        <f>'Harga Jual_BCL_Non Alas Kaki'!AF33</f>
        <v>109205.16666666667</v>
      </c>
    </row>
    <row r="8" spans="1:5">
      <c r="A8" s="77">
        <f>A7+1</f>
        <v>2</v>
      </c>
      <c r="B8" s="71" t="s">
        <v>373</v>
      </c>
      <c r="C8" s="91">
        <f>'Harga Jual_BCL_Non Alas Kaki'!AD47</f>
        <v>0.3151625039021887</v>
      </c>
      <c r="D8" s="79">
        <f>'Harga Jual_BCL_Non Alas Kaki'!AE47</f>
        <v>68985.71428571429</v>
      </c>
      <c r="E8" s="76">
        <f>'Harga Jual_BCL_Non Alas Kaki'!AF47</f>
        <v>58810.333333333336</v>
      </c>
    </row>
    <row r="9" spans="1:5">
      <c r="A9" s="77">
        <f t="shared" ref="A9:A11" si="0">A8+1</f>
        <v>3</v>
      </c>
      <c r="B9" s="71" t="s">
        <v>398</v>
      </c>
      <c r="C9" s="91">
        <f>'Harga Jual_BCL_Non Alas Kaki'!AD73</f>
        <v>0.33960283809811975</v>
      </c>
      <c r="D9" s="83">
        <f>'Harga Jual_BCL_Non Alas Kaki'!AE73</f>
        <v>107386.90476190478</v>
      </c>
      <c r="E9" s="76">
        <f>'Harga Jual_BCL_Non Alas Kaki'!AF73</f>
        <v>107992.66666666667</v>
      </c>
    </row>
    <row r="10" spans="1:5">
      <c r="A10" s="77">
        <f t="shared" si="0"/>
        <v>4</v>
      </c>
      <c r="B10" s="71" t="s">
        <v>436</v>
      </c>
      <c r="C10" s="91">
        <f>'Harga Jual_BCL_Non Alas Kaki'!AD76</f>
        <v>0.36567969614813073</v>
      </c>
      <c r="D10" s="78">
        <f>'Harga Jual_BCL_Non Alas Kaki'!AE76</f>
        <v>70500</v>
      </c>
      <c r="E10" s="76">
        <f>'Harga Jual_BCL_Non Alas Kaki'!AF76</f>
        <v>75513.399999999994</v>
      </c>
    </row>
    <row r="11" spans="1:5">
      <c r="A11" s="77">
        <f t="shared" si="0"/>
        <v>5</v>
      </c>
      <c r="B11" s="71" t="s">
        <v>451</v>
      </c>
      <c r="C11" s="91">
        <f>'Harga Jual_BCL_Non Alas Kaki'!AD97</f>
        <v>0.37812403538032929</v>
      </c>
      <c r="D11" s="78">
        <f>'Harga Jual_BCL_Non Alas Kaki'!AE97</f>
        <v>45805.555555555555</v>
      </c>
      <c r="E11" s="76">
        <f>'Harga Jual_BCL_Non Alas Kaki'!AF97</f>
        <v>51984.333333333336</v>
      </c>
    </row>
    <row r="12" spans="1:5">
      <c r="A12" s="88"/>
      <c r="B12" s="89"/>
      <c r="C12" s="92">
        <f>AVERAGE(C7:C11)</f>
        <v>0.34571381470575369</v>
      </c>
      <c r="D12" s="90"/>
      <c r="E12" s="90"/>
    </row>
    <row r="14" spans="1:5">
      <c r="A14" s="81"/>
      <c r="B14" s="81"/>
      <c r="C14" s="81" t="s">
        <v>538</v>
      </c>
      <c r="D14" s="76">
        <v>1</v>
      </c>
    </row>
    <row r="15" spans="1:5">
      <c r="A15" s="82"/>
      <c r="B15" s="82"/>
      <c r="C15" s="82" t="s">
        <v>537</v>
      </c>
      <c r="D15" s="76">
        <v>3</v>
      </c>
    </row>
    <row r="16" spans="1:5">
      <c r="A16" s="83"/>
      <c r="B16" s="83"/>
      <c r="C16" s="83" t="s">
        <v>541</v>
      </c>
      <c r="D16" s="76">
        <v>1</v>
      </c>
    </row>
    <row r="17" spans="4:4">
      <c r="D17" s="168">
        <f>SUM(D14:D16)</f>
        <v>5</v>
      </c>
    </row>
  </sheetData>
  <mergeCells count="4">
    <mergeCell ref="A5:A6"/>
    <mergeCell ref="B5:B6"/>
    <mergeCell ref="C5:D5"/>
    <mergeCell ref="E5:E6"/>
  </mergeCells>
  <printOptions horizontalCentered="1"/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Y515"/>
  <sheetViews>
    <sheetView topLeftCell="A4" zoomScale="85" zoomScaleNormal="85" workbookViewId="0">
      <selection activeCell="AA15" sqref="AA15"/>
    </sheetView>
  </sheetViews>
  <sheetFormatPr defaultRowHeight="14.4"/>
  <cols>
    <col min="1" max="3" width="9.109375" style="234"/>
    <col min="4" max="4" width="11.5546875" style="234" bestFit="1" customWidth="1"/>
    <col min="5" max="5" width="11.6640625" style="234" bestFit="1" customWidth="1"/>
    <col min="6" max="6" width="11.5546875" hidden="1" customWidth="1"/>
    <col min="7" max="7" width="8.6640625" style="234" hidden="1" customWidth="1"/>
    <col min="8" max="8" width="12.33203125" hidden="1" customWidth="1"/>
    <col min="9" max="9" width="9.6640625" style="234" hidden="1" customWidth="1"/>
    <col min="10" max="10" width="11.5546875" hidden="1" customWidth="1"/>
    <col min="11" max="11" width="7" style="234" hidden="1" customWidth="1"/>
    <col min="12" max="12" width="11.5546875" hidden="1" customWidth="1"/>
    <col min="13" max="13" width="7.109375" hidden="1" customWidth="1"/>
    <col min="14" max="14" width="11.5546875" style="234" hidden="1" customWidth="1"/>
    <col min="15" max="15" width="9" style="234" hidden="1" customWidth="1"/>
    <col min="16" max="16" width="11.5546875" style="234" hidden="1" customWidth="1"/>
    <col min="17" max="17" width="9" style="234" hidden="1" customWidth="1"/>
    <col min="18" max="18" width="11.5546875" style="234" bestFit="1" customWidth="1"/>
    <col min="19" max="19" width="12.33203125" style="234" bestFit="1" customWidth="1"/>
    <col min="20" max="20" width="11.5546875" style="234" bestFit="1" customWidth="1"/>
    <col min="21" max="21" width="8.6640625" style="234" bestFit="1" customWidth="1"/>
    <col min="22" max="22" width="11.5546875" style="234" bestFit="1" customWidth="1"/>
    <col min="23" max="23" width="12.33203125" style="234" bestFit="1" customWidth="1"/>
    <col min="24" max="24" width="11.5546875" style="234" bestFit="1" customWidth="1"/>
    <col min="25" max="25" width="8.6640625" style="234" bestFit="1" customWidth="1"/>
  </cols>
  <sheetData>
    <row r="2" spans="1:25">
      <c r="D2" s="336">
        <v>43067</v>
      </c>
      <c r="E2" s="337"/>
      <c r="F2" s="338">
        <v>43069</v>
      </c>
      <c r="G2" s="338"/>
      <c r="H2" s="338"/>
      <c r="I2" s="338"/>
      <c r="J2" s="335" t="s">
        <v>864</v>
      </c>
      <c r="K2" s="335"/>
      <c r="L2" s="335"/>
      <c r="M2" s="335"/>
      <c r="N2" s="334" t="s">
        <v>864</v>
      </c>
      <c r="O2" s="334"/>
      <c r="P2" s="334"/>
      <c r="Q2" s="334"/>
      <c r="R2" s="335" t="s">
        <v>864</v>
      </c>
      <c r="S2" s="335"/>
      <c r="T2" s="335"/>
      <c r="U2" s="335"/>
      <c r="V2" s="334" t="s">
        <v>874</v>
      </c>
      <c r="W2" s="334"/>
      <c r="X2" s="334"/>
      <c r="Y2" s="334"/>
    </row>
    <row r="3" spans="1:25" s="234" customFormat="1">
      <c r="D3" s="260">
        <f>AVERAGE(D5:D515)</f>
        <v>74174.509803921566</v>
      </c>
      <c r="E3" s="260">
        <f>AVERAGE(E5:E515)</f>
        <v>108115.73944646349</v>
      </c>
      <c r="F3" s="279">
        <f>AVERAGE(F5:F515)</f>
        <v>74044.129158512718</v>
      </c>
      <c r="G3" s="279">
        <f>SUM(G5:G515)</f>
        <v>7550</v>
      </c>
      <c r="H3" s="279">
        <f>AVERAGE(H5:H515)</f>
        <v>108524.04249370973</v>
      </c>
      <c r="I3" s="279">
        <f>SUM(I5:I515)</f>
        <v>208642.85714285693</v>
      </c>
      <c r="J3" s="280">
        <f>AVERAGE(J5:J515)</f>
        <v>74044.129158512718</v>
      </c>
      <c r="K3" s="280">
        <f>SUM(K5:K515)</f>
        <v>0</v>
      </c>
      <c r="L3" s="280">
        <f>AVERAGE(L5:L515)</f>
        <v>108540.81632653052</v>
      </c>
      <c r="M3" s="280">
        <f>SUM(M5:M515)</f>
        <v>8571.4285714285943</v>
      </c>
      <c r="N3" s="279">
        <f>AVERAGE(N5:N515)</f>
        <v>74337.671232876717</v>
      </c>
      <c r="O3" s="279">
        <f>SUM(O5:O515)</f>
        <v>150000</v>
      </c>
      <c r="P3" s="279">
        <f>AVERAGE(P5:P515)</f>
        <v>109294.2409840648</v>
      </c>
      <c r="Q3" s="279">
        <f>SUM(Q5:Q515)</f>
        <v>384999.99999999953</v>
      </c>
      <c r="R3" s="280">
        <f>AVERAGE(R5:R515)</f>
        <v>74337.671232876717</v>
      </c>
      <c r="S3" s="280">
        <f>SUM(S5:S515)</f>
        <v>0</v>
      </c>
      <c r="T3" s="280">
        <f>AVERAGE(T5:T515)</f>
        <v>109253.70422141458</v>
      </c>
      <c r="U3" s="280">
        <f>SUM(U5:U515)</f>
        <v>-20714.285714285717</v>
      </c>
      <c r="V3" s="279">
        <f>AVERAGE(V5:V515)</f>
        <v>74259.393346379642</v>
      </c>
      <c r="W3" s="279">
        <f>SUM(W5:W515)</f>
        <v>-40000</v>
      </c>
      <c r="X3" s="279">
        <f>AVERAGE(X5:X515)</f>
        <v>109248.11294380756</v>
      </c>
      <c r="Y3" s="279">
        <f>SUM(Y5:Y515)</f>
        <v>-2857.1428571428551</v>
      </c>
    </row>
    <row r="4" spans="1:25">
      <c r="A4" s="9" t="s">
        <v>845</v>
      </c>
      <c r="B4" s="9" t="s">
        <v>15</v>
      </c>
      <c r="C4" s="234" t="s">
        <v>16</v>
      </c>
      <c r="D4" s="234" t="s">
        <v>27</v>
      </c>
      <c r="E4" s="234" t="s">
        <v>30</v>
      </c>
      <c r="F4" t="s">
        <v>27</v>
      </c>
      <c r="G4" s="234" t="s">
        <v>36</v>
      </c>
      <c r="H4" t="s">
        <v>30</v>
      </c>
      <c r="J4" t="s">
        <v>27</v>
      </c>
      <c r="K4" s="234" t="s">
        <v>36</v>
      </c>
      <c r="L4" s="143" t="s">
        <v>30</v>
      </c>
      <c r="M4" s="234" t="s">
        <v>36</v>
      </c>
      <c r="N4" s="234" t="s">
        <v>27</v>
      </c>
      <c r="O4" s="234" t="s">
        <v>36</v>
      </c>
      <c r="P4" s="143" t="s">
        <v>30</v>
      </c>
      <c r="Q4" s="234" t="s">
        <v>36</v>
      </c>
      <c r="R4" s="234" t="s">
        <v>27</v>
      </c>
      <c r="S4" s="234" t="s">
        <v>36</v>
      </c>
      <c r="T4" s="143" t="s">
        <v>30</v>
      </c>
      <c r="U4" s="234" t="s">
        <v>36</v>
      </c>
      <c r="V4" s="234" t="s">
        <v>27</v>
      </c>
      <c r="W4" s="234" t="s">
        <v>36</v>
      </c>
      <c r="X4" s="143" t="s">
        <v>30</v>
      </c>
      <c r="Y4" s="234" t="s">
        <v>36</v>
      </c>
    </row>
    <row r="5" spans="1:25">
      <c r="A5" s="71" t="s">
        <v>847</v>
      </c>
      <c r="B5" s="71">
        <v>1</v>
      </c>
      <c r="C5" s="193" t="s">
        <v>64</v>
      </c>
      <c r="D5" s="143">
        <v>51650</v>
      </c>
      <c r="E5" s="143">
        <v>78071.42857142858</v>
      </c>
      <c r="F5" s="143">
        <v>46650</v>
      </c>
      <c r="G5" s="143">
        <f>F5-D5</f>
        <v>-5000</v>
      </c>
      <c r="H5" s="143">
        <v>70928.571428571435</v>
      </c>
      <c r="I5" s="143">
        <f>H5-E5</f>
        <v>-7142.8571428571449</v>
      </c>
      <c r="J5" s="143">
        <v>46650</v>
      </c>
      <c r="K5" s="143">
        <f>J5-F5</f>
        <v>0</v>
      </c>
      <c r="L5" s="143">
        <v>70928.571428571435</v>
      </c>
      <c r="M5" s="143">
        <f>L5-H5</f>
        <v>0</v>
      </c>
      <c r="N5" s="143">
        <v>46650</v>
      </c>
      <c r="O5" s="234">
        <f t="shared" ref="O5:O68" si="0">N5-J5</f>
        <v>0</v>
      </c>
      <c r="P5" s="143">
        <v>72357.142857142855</v>
      </c>
      <c r="Q5" s="143">
        <f>P5-L5</f>
        <v>1428.5714285714203</v>
      </c>
      <c r="R5" s="281">
        <v>46650</v>
      </c>
      <c r="S5" s="234">
        <f t="shared" ref="S5:S69" si="1">R5-N5</f>
        <v>0</v>
      </c>
      <c r="T5" s="22">
        <v>72357.142857142855</v>
      </c>
      <c r="U5" s="143">
        <f>T5-P5</f>
        <v>0</v>
      </c>
      <c r="V5" s="281">
        <v>46650</v>
      </c>
      <c r="W5" s="234">
        <f t="shared" ref="W5:W69" si="2">V5-R5</f>
        <v>0</v>
      </c>
      <c r="X5" s="22">
        <v>73785.71428571429</v>
      </c>
      <c r="Y5" s="143">
        <f>X5-T5</f>
        <v>1428.5714285714348</v>
      </c>
    </row>
    <row r="6" spans="1:25">
      <c r="A6" s="2"/>
      <c r="B6" s="2">
        <v>2</v>
      </c>
      <c r="C6" s="200" t="s">
        <v>610</v>
      </c>
      <c r="D6" s="143">
        <v>58000</v>
      </c>
      <c r="E6" s="143">
        <v>87142.857142857145</v>
      </c>
      <c r="F6" s="143">
        <v>58000</v>
      </c>
      <c r="G6" s="143">
        <f t="shared" ref="G6:G69" si="3">F6-D6</f>
        <v>0</v>
      </c>
      <c r="H6" s="143">
        <v>87142.857142857145</v>
      </c>
      <c r="I6" s="143">
        <f t="shared" ref="I6:I69" si="4">H6-E6</f>
        <v>0</v>
      </c>
      <c r="J6" s="143">
        <v>58000</v>
      </c>
      <c r="K6" s="143">
        <f t="shared" ref="K6:K69" si="5">J6-F6</f>
        <v>0</v>
      </c>
      <c r="L6" s="143">
        <v>87142.857142857145</v>
      </c>
      <c r="M6" s="143">
        <f t="shared" ref="M6:M69" si="6">L6-H6</f>
        <v>0</v>
      </c>
      <c r="N6" s="143">
        <v>58000</v>
      </c>
      <c r="O6" s="234">
        <f t="shared" si="0"/>
        <v>0</v>
      </c>
      <c r="P6" s="143">
        <v>87142.857142857145</v>
      </c>
      <c r="Q6" s="143">
        <f t="shared" ref="Q6:Q69" si="7">P6-L6</f>
        <v>0</v>
      </c>
      <c r="R6" s="281">
        <v>58000</v>
      </c>
      <c r="S6" s="234">
        <f t="shared" si="1"/>
        <v>0</v>
      </c>
      <c r="T6" s="22">
        <v>87142.857142857145</v>
      </c>
      <c r="U6" s="143">
        <f t="shared" ref="U6:U69" si="8">T6-P6</f>
        <v>0</v>
      </c>
      <c r="V6" s="281">
        <v>58000</v>
      </c>
      <c r="W6" s="234">
        <f t="shared" si="2"/>
        <v>0</v>
      </c>
      <c r="X6" s="22">
        <v>87142.857142857145</v>
      </c>
      <c r="Y6" s="143">
        <f t="shared" ref="Y6:Y69" si="9">X6-T6</f>
        <v>0</v>
      </c>
    </row>
    <row r="7" spans="1:25">
      <c r="A7" s="71" t="s">
        <v>847</v>
      </c>
      <c r="B7" s="71">
        <v>3</v>
      </c>
      <c r="C7" s="235" t="s">
        <v>833</v>
      </c>
      <c r="D7" s="143">
        <v>61150</v>
      </c>
      <c r="E7" s="143">
        <v>91642.857142857145</v>
      </c>
      <c r="F7" s="143">
        <v>53650</v>
      </c>
      <c r="G7" s="143">
        <f t="shared" si="3"/>
        <v>-7500</v>
      </c>
      <c r="H7" s="143">
        <v>80928.571428571435</v>
      </c>
      <c r="I7" s="143">
        <f t="shared" si="4"/>
        <v>-10714.28571428571</v>
      </c>
      <c r="J7" s="143">
        <v>53650</v>
      </c>
      <c r="K7" s="143">
        <f t="shared" si="5"/>
        <v>0</v>
      </c>
      <c r="L7" s="143">
        <v>80928.571428571435</v>
      </c>
      <c r="M7" s="143">
        <f t="shared" si="6"/>
        <v>0</v>
      </c>
      <c r="N7" s="143">
        <v>53650</v>
      </c>
      <c r="O7" s="234">
        <f t="shared" si="0"/>
        <v>0</v>
      </c>
      <c r="P7" s="143">
        <v>82357.14285714287</v>
      </c>
      <c r="Q7" s="143">
        <f t="shared" si="7"/>
        <v>1428.5714285714348</v>
      </c>
      <c r="R7" s="281">
        <v>53650</v>
      </c>
      <c r="S7" s="234">
        <f t="shared" si="1"/>
        <v>0</v>
      </c>
      <c r="T7" s="22">
        <v>82357.14285714287</v>
      </c>
      <c r="U7" s="143">
        <f t="shared" si="8"/>
        <v>0</v>
      </c>
      <c r="V7" s="281">
        <v>53650</v>
      </c>
      <c r="W7" s="234">
        <f t="shared" si="2"/>
        <v>0</v>
      </c>
      <c r="X7" s="22">
        <v>83785.71428571429</v>
      </c>
      <c r="Y7" s="143">
        <f t="shared" si="9"/>
        <v>1428.5714285714203</v>
      </c>
    </row>
    <row r="8" spans="1:25">
      <c r="A8" s="2"/>
      <c r="B8" s="71">
        <v>4</v>
      </c>
      <c r="C8" s="191" t="s">
        <v>70</v>
      </c>
      <c r="D8" s="143">
        <v>50000</v>
      </c>
      <c r="E8" s="143">
        <v>75714.285714285725</v>
      </c>
      <c r="F8" s="143">
        <v>50000</v>
      </c>
      <c r="G8" s="143">
        <f t="shared" si="3"/>
        <v>0</v>
      </c>
      <c r="H8" s="143">
        <v>75714.285714285725</v>
      </c>
      <c r="I8" s="143">
        <f t="shared" si="4"/>
        <v>0</v>
      </c>
      <c r="J8" s="143">
        <v>50000</v>
      </c>
      <c r="K8" s="143">
        <f t="shared" si="5"/>
        <v>0</v>
      </c>
      <c r="L8" s="143">
        <v>75714.285714285725</v>
      </c>
      <c r="M8" s="143">
        <f t="shared" si="6"/>
        <v>0</v>
      </c>
      <c r="N8" s="143">
        <v>50000</v>
      </c>
      <c r="O8" s="234">
        <f t="shared" si="0"/>
        <v>0</v>
      </c>
      <c r="P8" s="143">
        <v>77142.857142857145</v>
      </c>
      <c r="Q8" s="143">
        <f t="shared" si="7"/>
        <v>1428.5714285714203</v>
      </c>
      <c r="R8" s="281">
        <v>50000</v>
      </c>
      <c r="S8" s="234">
        <f t="shared" si="1"/>
        <v>0</v>
      </c>
      <c r="T8" s="22">
        <v>77142.857142857145</v>
      </c>
      <c r="U8" s="143">
        <f t="shared" si="8"/>
        <v>0</v>
      </c>
      <c r="V8" s="281">
        <v>50000</v>
      </c>
      <c r="W8" s="234">
        <f t="shared" si="2"/>
        <v>0</v>
      </c>
      <c r="X8" s="22">
        <v>78571.42857142858</v>
      </c>
      <c r="Y8" s="143">
        <f t="shared" si="9"/>
        <v>1428.5714285714348</v>
      </c>
    </row>
    <row r="9" spans="1:25">
      <c r="A9" s="2"/>
      <c r="B9" s="2">
        <v>5</v>
      </c>
      <c r="C9" s="191" t="s">
        <v>71</v>
      </c>
      <c r="D9" s="143">
        <v>57150</v>
      </c>
      <c r="E9" s="143">
        <v>85928.571428571435</v>
      </c>
      <c r="F9" s="143">
        <v>57150</v>
      </c>
      <c r="G9" s="143">
        <f t="shared" si="3"/>
        <v>0</v>
      </c>
      <c r="H9" s="143">
        <v>85928.571428571435</v>
      </c>
      <c r="I9" s="143">
        <f t="shared" si="4"/>
        <v>0</v>
      </c>
      <c r="J9" s="143">
        <v>57150</v>
      </c>
      <c r="K9" s="143">
        <f t="shared" si="5"/>
        <v>0</v>
      </c>
      <c r="L9" s="143">
        <v>85928.571428571435</v>
      </c>
      <c r="M9" s="143">
        <f t="shared" si="6"/>
        <v>0</v>
      </c>
      <c r="N9" s="143">
        <v>57150</v>
      </c>
      <c r="O9" s="234">
        <f t="shared" si="0"/>
        <v>0</v>
      </c>
      <c r="P9" s="143">
        <v>87357.14285714287</v>
      </c>
      <c r="Q9" s="143">
        <f t="shared" si="7"/>
        <v>1428.5714285714348</v>
      </c>
      <c r="R9" s="281">
        <v>57150</v>
      </c>
      <c r="S9" s="234">
        <f t="shared" si="1"/>
        <v>0</v>
      </c>
      <c r="T9" s="22">
        <v>87357.14285714287</v>
      </c>
      <c r="U9" s="143">
        <f t="shared" si="8"/>
        <v>0</v>
      </c>
      <c r="V9" s="281">
        <v>75000</v>
      </c>
      <c r="W9" s="234">
        <f t="shared" si="2"/>
        <v>17850</v>
      </c>
      <c r="X9" s="22">
        <v>112857.14285714287</v>
      </c>
      <c r="Y9" s="143">
        <f t="shared" si="9"/>
        <v>25500</v>
      </c>
    </row>
    <row r="10" spans="1:25">
      <c r="A10" s="2"/>
      <c r="B10" s="71">
        <v>6</v>
      </c>
      <c r="C10" s="191" t="s">
        <v>72</v>
      </c>
      <c r="D10" s="143">
        <v>68150</v>
      </c>
      <c r="E10" s="143">
        <v>101642.85714285714</v>
      </c>
      <c r="F10" s="143">
        <v>68150</v>
      </c>
      <c r="G10" s="143">
        <f t="shared" si="3"/>
        <v>0</v>
      </c>
      <c r="H10" s="143">
        <v>101642.85714285714</v>
      </c>
      <c r="I10" s="143">
        <f t="shared" si="4"/>
        <v>0</v>
      </c>
      <c r="J10" s="143">
        <v>68150</v>
      </c>
      <c r="K10" s="143">
        <f t="shared" si="5"/>
        <v>0</v>
      </c>
      <c r="L10" s="143">
        <v>101642.85714285714</v>
      </c>
      <c r="M10" s="143">
        <f t="shared" si="6"/>
        <v>0</v>
      </c>
      <c r="N10" s="143">
        <v>68150</v>
      </c>
      <c r="O10" s="234">
        <f t="shared" si="0"/>
        <v>0</v>
      </c>
      <c r="P10" s="143">
        <v>103071.42857142858</v>
      </c>
      <c r="Q10" s="143">
        <f t="shared" si="7"/>
        <v>1428.5714285714348</v>
      </c>
      <c r="R10" s="281">
        <v>68150</v>
      </c>
      <c r="S10" s="234">
        <f t="shared" si="1"/>
        <v>0</v>
      </c>
      <c r="T10" s="22">
        <v>103071.42857142858</v>
      </c>
      <c r="U10" s="143">
        <f t="shared" si="8"/>
        <v>0</v>
      </c>
      <c r="V10" s="281">
        <v>68150</v>
      </c>
      <c r="W10" s="234">
        <f t="shared" si="2"/>
        <v>0</v>
      </c>
      <c r="X10" s="22">
        <v>104500</v>
      </c>
      <c r="Y10" s="143">
        <f t="shared" si="9"/>
        <v>1428.5714285714203</v>
      </c>
    </row>
    <row r="11" spans="1:25">
      <c r="A11" s="71" t="s">
        <v>847</v>
      </c>
      <c r="B11" s="71">
        <v>7</v>
      </c>
      <c r="C11" s="235" t="s">
        <v>853</v>
      </c>
      <c r="D11" s="143">
        <v>68650</v>
      </c>
      <c r="E11" s="143">
        <v>100928.57142857143</v>
      </c>
      <c r="F11" s="143">
        <v>70000</v>
      </c>
      <c r="G11" s="143">
        <f t="shared" si="3"/>
        <v>1350</v>
      </c>
      <c r="H11" s="143">
        <v>104285.71428571429</v>
      </c>
      <c r="I11" s="143">
        <f t="shared" si="4"/>
        <v>3357.1428571428551</v>
      </c>
      <c r="J11" s="143">
        <v>70000</v>
      </c>
      <c r="K11" s="143">
        <f t="shared" si="5"/>
        <v>0</v>
      </c>
      <c r="L11" s="143">
        <v>104285.71428571429</v>
      </c>
      <c r="M11" s="143">
        <f t="shared" si="6"/>
        <v>0</v>
      </c>
      <c r="N11" s="143">
        <v>70000</v>
      </c>
      <c r="O11" s="234">
        <f t="shared" si="0"/>
        <v>0</v>
      </c>
      <c r="P11" s="143">
        <v>105714.28571428572</v>
      </c>
      <c r="Q11" s="143">
        <f t="shared" si="7"/>
        <v>1428.5714285714348</v>
      </c>
      <c r="R11" s="281">
        <v>70000</v>
      </c>
      <c r="S11" s="234">
        <f t="shared" si="1"/>
        <v>0</v>
      </c>
      <c r="T11" s="22">
        <v>105714.28571428572</v>
      </c>
      <c r="U11" s="143">
        <f t="shared" si="8"/>
        <v>0</v>
      </c>
      <c r="V11" s="281">
        <v>70000</v>
      </c>
      <c r="W11" s="234">
        <f t="shared" si="2"/>
        <v>0</v>
      </c>
      <c r="X11" s="22">
        <v>105714.28571428572</v>
      </c>
      <c r="Y11" s="143">
        <f t="shared" si="9"/>
        <v>0</v>
      </c>
    </row>
    <row r="12" spans="1:25">
      <c r="A12" s="2"/>
      <c r="B12" s="2">
        <v>8</v>
      </c>
      <c r="C12" s="191" t="s">
        <v>73</v>
      </c>
      <c r="D12" s="143">
        <v>67650</v>
      </c>
      <c r="E12" s="143">
        <v>102357.14285714287</v>
      </c>
      <c r="F12" s="143">
        <v>67650</v>
      </c>
      <c r="G12" s="143">
        <f t="shared" si="3"/>
        <v>0</v>
      </c>
      <c r="H12" s="143">
        <v>100928.57142857143</v>
      </c>
      <c r="I12" s="143">
        <f t="shared" si="4"/>
        <v>-1428.5714285714348</v>
      </c>
      <c r="J12" s="143">
        <v>67650</v>
      </c>
      <c r="K12" s="143">
        <f t="shared" si="5"/>
        <v>0</v>
      </c>
      <c r="L12" s="143">
        <v>100928.57142857143</v>
      </c>
      <c r="M12" s="143">
        <f t="shared" si="6"/>
        <v>0</v>
      </c>
      <c r="N12" s="143">
        <v>67650</v>
      </c>
      <c r="O12" s="234">
        <f t="shared" si="0"/>
        <v>0</v>
      </c>
      <c r="P12" s="143">
        <v>102357.14285714287</v>
      </c>
      <c r="Q12" s="143">
        <f t="shared" si="7"/>
        <v>1428.5714285714348</v>
      </c>
      <c r="R12" s="281">
        <v>67650</v>
      </c>
      <c r="S12" s="234">
        <f t="shared" si="1"/>
        <v>0</v>
      </c>
      <c r="T12" s="22">
        <v>102357.14285714287</v>
      </c>
      <c r="U12" s="143">
        <f t="shared" si="8"/>
        <v>0</v>
      </c>
      <c r="V12" s="281">
        <v>67650</v>
      </c>
      <c r="W12" s="234">
        <f t="shared" si="2"/>
        <v>0</v>
      </c>
      <c r="X12" s="22">
        <v>102357.14285714287</v>
      </c>
      <c r="Y12" s="143">
        <f t="shared" si="9"/>
        <v>0</v>
      </c>
    </row>
    <row r="13" spans="1:25">
      <c r="A13" s="2"/>
      <c r="B13" s="71">
        <v>9</v>
      </c>
      <c r="C13" s="200" t="s">
        <v>611</v>
      </c>
      <c r="D13" s="143">
        <v>55650</v>
      </c>
      <c r="E13" s="143">
        <v>83785.71428571429</v>
      </c>
      <c r="F13" s="143">
        <v>55650</v>
      </c>
      <c r="G13" s="143">
        <f t="shared" si="3"/>
        <v>0</v>
      </c>
      <c r="H13" s="143">
        <v>82357.14285714287</v>
      </c>
      <c r="I13" s="143">
        <f t="shared" si="4"/>
        <v>-1428.5714285714203</v>
      </c>
      <c r="J13" s="143">
        <v>55650</v>
      </c>
      <c r="K13" s="143">
        <f t="shared" si="5"/>
        <v>0</v>
      </c>
      <c r="L13" s="143">
        <v>82357.14285714287</v>
      </c>
      <c r="M13" s="143">
        <f t="shared" si="6"/>
        <v>0</v>
      </c>
      <c r="N13" s="143">
        <v>55650</v>
      </c>
      <c r="O13" s="234">
        <f t="shared" si="0"/>
        <v>0</v>
      </c>
      <c r="P13" s="143">
        <v>82357.14285714287</v>
      </c>
      <c r="Q13" s="143">
        <f t="shared" si="7"/>
        <v>0</v>
      </c>
      <c r="R13" s="281">
        <v>55650</v>
      </c>
      <c r="S13" s="234">
        <f t="shared" si="1"/>
        <v>0</v>
      </c>
      <c r="T13" s="22">
        <v>82357.14285714287</v>
      </c>
      <c r="U13" s="143">
        <f t="shared" si="8"/>
        <v>0</v>
      </c>
      <c r="V13" s="281">
        <v>55650</v>
      </c>
      <c r="W13" s="234">
        <f t="shared" si="2"/>
        <v>0</v>
      </c>
      <c r="X13" s="22">
        <v>82357.14285714287</v>
      </c>
      <c r="Y13" s="143">
        <f t="shared" si="9"/>
        <v>0</v>
      </c>
    </row>
    <row r="14" spans="1:25">
      <c r="A14" s="2"/>
      <c r="B14" s="71">
        <v>10</v>
      </c>
      <c r="C14" s="191" t="s">
        <v>75</v>
      </c>
      <c r="D14" s="143">
        <v>68650</v>
      </c>
      <c r="E14" s="143">
        <v>100928.57142857143</v>
      </c>
      <c r="F14" s="143">
        <v>68650</v>
      </c>
      <c r="G14" s="143">
        <f t="shared" si="3"/>
        <v>0</v>
      </c>
      <c r="H14" s="143">
        <v>100928.57142857143</v>
      </c>
      <c r="I14" s="143">
        <f t="shared" si="4"/>
        <v>0</v>
      </c>
      <c r="J14" s="143">
        <v>68650</v>
      </c>
      <c r="K14" s="143">
        <f t="shared" si="5"/>
        <v>0</v>
      </c>
      <c r="L14" s="143">
        <v>100928.57142857143</v>
      </c>
      <c r="M14" s="143">
        <f t="shared" si="6"/>
        <v>0</v>
      </c>
      <c r="N14" s="143">
        <v>68650</v>
      </c>
      <c r="O14" s="234">
        <f t="shared" si="0"/>
        <v>0</v>
      </c>
      <c r="P14" s="143">
        <v>103785.71428571429</v>
      </c>
      <c r="Q14" s="143">
        <f t="shared" si="7"/>
        <v>2857.1428571428551</v>
      </c>
      <c r="R14" s="281">
        <v>68650</v>
      </c>
      <c r="S14" s="234">
        <f t="shared" si="1"/>
        <v>0</v>
      </c>
      <c r="T14" s="22">
        <v>103785.71428571429</v>
      </c>
      <c r="U14" s="143">
        <f t="shared" si="8"/>
        <v>0</v>
      </c>
      <c r="V14" s="281">
        <v>68650</v>
      </c>
      <c r="W14" s="234">
        <f t="shared" si="2"/>
        <v>0</v>
      </c>
      <c r="X14" s="22">
        <v>103785.71428571429</v>
      </c>
      <c r="Y14" s="143">
        <f t="shared" si="9"/>
        <v>0</v>
      </c>
    </row>
    <row r="15" spans="1:25">
      <c r="A15" s="2"/>
      <c r="B15" s="2">
        <v>11</v>
      </c>
      <c r="C15" s="191" t="s">
        <v>76</v>
      </c>
      <c r="D15" s="143">
        <v>58650</v>
      </c>
      <c r="E15" s="143">
        <v>88071.42857142858</v>
      </c>
      <c r="F15" s="143">
        <v>58650</v>
      </c>
      <c r="G15" s="143">
        <f t="shared" si="3"/>
        <v>0</v>
      </c>
      <c r="H15" s="143">
        <v>88071.42857142858</v>
      </c>
      <c r="I15" s="143">
        <f t="shared" si="4"/>
        <v>0</v>
      </c>
      <c r="J15" s="143">
        <v>58650</v>
      </c>
      <c r="K15" s="143">
        <f t="shared" si="5"/>
        <v>0</v>
      </c>
      <c r="L15" s="143">
        <v>88071.42857142858</v>
      </c>
      <c r="M15" s="143">
        <f t="shared" si="6"/>
        <v>0</v>
      </c>
      <c r="N15" s="143">
        <v>58650</v>
      </c>
      <c r="O15" s="234">
        <f t="shared" si="0"/>
        <v>0</v>
      </c>
      <c r="P15" s="143">
        <v>89500</v>
      </c>
      <c r="Q15" s="143">
        <f t="shared" si="7"/>
        <v>1428.5714285714203</v>
      </c>
      <c r="R15" s="281">
        <v>58650</v>
      </c>
      <c r="S15" s="234">
        <f t="shared" si="1"/>
        <v>0</v>
      </c>
      <c r="T15" s="22">
        <v>89500</v>
      </c>
      <c r="U15" s="143">
        <f t="shared" si="8"/>
        <v>0</v>
      </c>
      <c r="V15" s="281">
        <v>58650</v>
      </c>
      <c r="W15" s="234">
        <f t="shared" si="2"/>
        <v>0</v>
      </c>
      <c r="X15" s="22">
        <v>90928.571428571435</v>
      </c>
      <c r="Y15" s="143">
        <f t="shared" si="9"/>
        <v>1428.5714285714348</v>
      </c>
    </row>
    <row r="16" spans="1:25">
      <c r="A16" s="2"/>
      <c r="B16" s="71">
        <v>12</v>
      </c>
      <c r="C16" s="200" t="s">
        <v>612</v>
      </c>
      <c r="D16" s="143">
        <v>65000</v>
      </c>
      <c r="E16" s="143">
        <v>95714.285714285725</v>
      </c>
      <c r="F16" s="143">
        <v>65000</v>
      </c>
      <c r="G16" s="143">
        <f t="shared" si="3"/>
        <v>0</v>
      </c>
      <c r="H16" s="143">
        <v>97142.857142857145</v>
      </c>
      <c r="I16" s="143">
        <f t="shared" si="4"/>
        <v>1428.5714285714203</v>
      </c>
      <c r="J16" s="143">
        <v>65000</v>
      </c>
      <c r="K16" s="143">
        <f t="shared" si="5"/>
        <v>0</v>
      </c>
      <c r="L16" s="143">
        <v>97142.857142857145</v>
      </c>
      <c r="M16" s="143">
        <f t="shared" si="6"/>
        <v>0</v>
      </c>
      <c r="N16" s="143">
        <v>65000</v>
      </c>
      <c r="O16" s="234">
        <f t="shared" si="0"/>
        <v>0</v>
      </c>
      <c r="P16" s="143">
        <v>98571.42857142858</v>
      </c>
      <c r="Q16" s="143">
        <f t="shared" si="7"/>
        <v>1428.5714285714348</v>
      </c>
      <c r="R16" s="281">
        <v>65000</v>
      </c>
      <c r="S16" s="234">
        <f t="shared" si="1"/>
        <v>0</v>
      </c>
      <c r="T16" s="22">
        <v>98571.42857142858</v>
      </c>
      <c r="U16" s="143">
        <f t="shared" si="8"/>
        <v>0</v>
      </c>
      <c r="V16" s="281">
        <v>65000</v>
      </c>
      <c r="W16" s="234">
        <f t="shared" si="2"/>
        <v>0</v>
      </c>
      <c r="X16" s="22">
        <v>98571.42857142858</v>
      </c>
      <c r="Y16" s="143">
        <f t="shared" si="9"/>
        <v>0</v>
      </c>
    </row>
    <row r="17" spans="1:25">
      <c r="A17" s="2"/>
      <c r="B17" s="71">
        <v>13</v>
      </c>
      <c r="C17" s="191" t="s">
        <v>77</v>
      </c>
      <c r="D17" s="143">
        <v>65000</v>
      </c>
      <c r="E17" s="143">
        <v>95714.285714285725</v>
      </c>
      <c r="F17" s="143">
        <v>65000</v>
      </c>
      <c r="G17" s="143">
        <f t="shared" si="3"/>
        <v>0</v>
      </c>
      <c r="H17" s="143">
        <v>95714.285714285725</v>
      </c>
      <c r="I17" s="143">
        <f t="shared" si="4"/>
        <v>0</v>
      </c>
      <c r="J17" s="143">
        <v>65000</v>
      </c>
      <c r="K17" s="143">
        <f t="shared" si="5"/>
        <v>0</v>
      </c>
      <c r="L17" s="143">
        <v>95714.285714285725</v>
      </c>
      <c r="M17" s="143">
        <f t="shared" si="6"/>
        <v>0</v>
      </c>
      <c r="N17" s="143">
        <v>65000</v>
      </c>
      <c r="O17" s="234">
        <f t="shared" si="0"/>
        <v>0</v>
      </c>
      <c r="P17" s="143">
        <v>98571.42857142858</v>
      </c>
      <c r="Q17" s="143">
        <f t="shared" si="7"/>
        <v>2857.1428571428551</v>
      </c>
      <c r="R17" s="281">
        <v>65000</v>
      </c>
      <c r="S17" s="234">
        <f t="shared" si="1"/>
        <v>0</v>
      </c>
      <c r="T17" s="22">
        <v>98571.42857142858</v>
      </c>
      <c r="U17" s="143">
        <f t="shared" si="8"/>
        <v>0</v>
      </c>
      <c r="V17" s="281">
        <v>65000</v>
      </c>
      <c r="W17" s="234">
        <f t="shared" si="2"/>
        <v>0</v>
      </c>
      <c r="X17" s="22">
        <v>98571.42857142858</v>
      </c>
      <c r="Y17" s="143">
        <f t="shared" si="9"/>
        <v>0</v>
      </c>
    </row>
    <row r="18" spans="1:25">
      <c r="A18" s="2"/>
      <c r="B18" s="2">
        <v>14</v>
      </c>
      <c r="C18" s="200" t="s">
        <v>613</v>
      </c>
      <c r="D18" s="143">
        <v>75000</v>
      </c>
      <c r="E18" s="143">
        <v>112857.14285714287</v>
      </c>
      <c r="F18" s="143">
        <v>75000</v>
      </c>
      <c r="G18" s="143">
        <f t="shared" si="3"/>
        <v>0</v>
      </c>
      <c r="H18" s="143">
        <v>112857.14285714287</v>
      </c>
      <c r="I18" s="143">
        <f t="shared" si="4"/>
        <v>0</v>
      </c>
      <c r="J18" s="143">
        <v>75000</v>
      </c>
      <c r="K18" s="143">
        <f t="shared" si="5"/>
        <v>0</v>
      </c>
      <c r="L18" s="143">
        <v>112857.14285714287</v>
      </c>
      <c r="M18" s="143">
        <f t="shared" si="6"/>
        <v>0</v>
      </c>
      <c r="N18" s="143">
        <v>75000</v>
      </c>
      <c r="O18" s="234">
        <f t="shared" si="0"/>
        <v>0</v>
      </c>
      <c r="P18" s="143">
        <v>112857.14285714287</v>
      </c>
      <c r="Q18" s="143">
        <f t="shared" si="7"/>
        <v>0</v>
      </c>
      <c r="R18" s="281">
        <v>75000</v>
      </c>
      <c r="S18" s="234">
        <f t="shared" si="1"/>
        <v>0</v>
      </c>
      <c r="T18" s="22">
        <v>112857.14285714287</v>
      </c>
      <c r="U18" s="143">
        <f t="shared" si="8"/>
        <v>0</v>
      </c>
      <c r="V18" s="281">
        <v>75000</v>
      </c>
      <c r="W18" s="234">
        <f t="shared" si="2"/>
        <v>0</v>
      </c>
      <c r="X18" s="22">
        <v>112857.14285714287</v>
      </c>
      <c r="Y18" s="143">
        <f t="shared" si="9"/>
        <v>0</v>
      </c>
    </row>
    <row r="19" spans="1:25">
      <c r="A19" s="2"/>
      <c r="B19" s="71">
        <v>15</v>
      </c>
      <c r="C19" s="200" t="s">
        <v>614</v>
      </c>
      <c r="D19" s="143">
        <v>75000</v>
      </c>
      <c r="E19" s="143">
        <v>110000</v>
      </c>
      <c r="F19" s="143">
        <v>75000</v>
      </c>
      <c r="G19" s="143">
        <f t="shared" si="3"/>
        <v>0</v>
      </c>
      <c r="H19" s="143">
        <v>111428.57142857143</v>
      </c>
      <c r="I19" s="143">
        <f t="shared" si="4"/>
        <v>1428.5714285714348</v>
      </c>
      <c r="J19" s="143">
        <v>75000</v>
      </c>
      <c r="K19" s="143">
        <f t="shared" si="5"/>
        <v>0</v>
      </c>
      <c r="L19" s="143">
        <v>111428.57142857143</v>
      </c>
      <c r="M19" s="143">
        <f t="shared" si="6"/>
        <v>0</v>
      </c>
      <c r="N19" s="143">
        <v>75000</v>
      </c>
      <c r="O19" s="234">
        <f t="shared" si="0"/>
        <v>0</v>
      </c>
      <c r="P19" s="143">
        <v>112857.14285714287</v>
      </c>
      <c r="Q19" s="143">
        <f t="shared" si="7"/>
        <v>1428.5714285714348</v>
      </c>
      <c r="R19" s="281">
        <v>75000</v>
      </c>
      <c r="S19" s="234">
        <f t="shared" si="1"/>
        <v>0</v>
      </c>
      <c r="T19" s="22">
        <v>112857.14285714287</v>
      </c>
      <c r="U19" s="143">
        <f t="shared" si="8"/>
        <v>0</v>
      </c>
      <c r="V19" s="281">
        <v>75000</v>
      </c>
      <c r="W19" s="234">
        <f t="shared" si="2"/>
        <v>0</v>
      </c>
      <c r="X19" s="22">
        <v>112857.14285714287</v>
      </c>
      <c r="Y19" s="143">
        <f t="shared" si="9"/>
        <v>0</v>
      </c>
    </row>
    <row r="20" spans="1:25">
      <c r="A20" s="2"/>
      <c r="B20" s="71">
        <v>16</v>
      </c>
      <c r="C20" s="191" t="s">
        <v>78</v>
      </c>
      <c r="D20" s="143">
        <v>68650</v>
      </c>
      <c r="E20" s="143">
        <v>100928.57142857143</v>
      </c>
      <c r="F20" s="143">
        <v>68650</v>
      </c>
      <c r="G20" s="143">
        <f t="shared" si="3"/>
        <v>0</v>
      </c>
      <c r="H20" s="143">
        <v>100928.57142857143</v>
      </c>
      <c r="I20" s="143">
        <f t="shared" si="4"/>
        <v>0</v>
      </c>
      <c r="J20" s="143">
        <v>68650</v>
      </c>
      <c r="K20" s="143">
        <f t="shared" si="5"/>
        <v>0</v>
      </c>
      <c r="L20" s="143">
        <v>100928.57142857143</v>
      </c>
      <c r="M20" s="143">
        <f t="shared" si="6"/>
        <v>0</v>
      </c>
      <c r="N20" s="143">
        <v>68650</v>
      </c>
      <c r="O20" s="234">
        <f t="shared" si="0"/>
        <v>0</v>
      </c>
      <c r="P20" s="143">
        <v>103785.71428571429</v>
      </c>
      <c r="Q20" s="143">
        <f t="shared" si="7"/>
        <v>2857.1428571428551</v>
      </c>
      <c r="R20" s="281">
        <v>68650</v>
      </c>
      <c r="S20" s="234">
        <f t="shared" si="1"/>
        <v>0</v>
      </c>
      <c r="T20" s="22">
        <v>103785.71428571429</v>
      </c>
      <c r="U20" s="143">
        <f t="shared" si="8"/>
        <v>0</v>
      </c>
      <c r="V20" s="281">
        <v>68650</v>
      </c>
      <c r="W20" s="234">
        <f t="shared" si="2"/>
        <v>0</v>
      </c>
      <c r="X20" s="22">
        <v>103785.71428571429</v>
      </c>
      <c r="Y20" s="143">
        <f t="shared" si="9"/>
        <v>0</v>
      </c>
    </row>
    <row r="21" spans="1:25">
      <c r="A21" s="71" t="s">
        <v>847</v>
      </c>
      <c r="B21" s="2">
        <v>17</v>
      </c>
      <c r="C21" s="235" t="s">
        <v>834</v>
      </c>
      <c r="D21" s="143">
        <v>55650</v>
      </c>
      <c r="E21" s="143">
        <v>83785.71428571429</v>
      </c>
      <c r="F21" s="143">
        <v>66150</v>
      </c>
      <c r="G21" s="143">
        <f t="shared" si="3"/>
        <v>10500</v>
      </c>
      <c r="H21" s="143">
        <v>98785.71428571429</v>
      </c>
      <c r="I21" s="143">
        <f t="shared" si="4"/>
        <v>15000</v>
      </c>
      <c r="J21" s="143">
        <v>66150</v>
      </c>
      <c r="K21" s="143">
        <f t="shared" si="5"/>
        <v>0</v>
      </c>
      <c r="L21" s="143">
        <v>98785.71428571429</v>
      </c>
      <c r="M21" s="143">
        <f t="shared" si="6"/>
        <v>0</v>
      </c>
      <c r="N21" s="143">
        <v>66150</v>
      </c>
      <c r="O21" s="234">
        <f t="shared" si="0"/>
        <v>0</v>
      </c>
      <c r="P21" s="143">
        <v>100214.28571428572</v>
      </c>
      <c r="Q21" s="143">
        <f t="shared" si="7"/>
        <v>1428.5714285714348</v>
      </c>
      <c r="R21" s="281">
        <v>66150</v>
      </c>
      <c r="S21" s="234">
        <f t="shared" si="1"/>
        <v>0</v>
      </c>
      <c r="T21" s="22">
        <v>100214.28571428572</v>
      </c>
      <c r="U21" s="143">
        <f t="shared" si="8"/>
        <v>0</v>
      </c>
      <c r="V21" s="281">
        <v>66150</v>
      </c>
      <c r="W21" s="234">
        <f t="shared" si="2"/>
        <v>0</v>
      </c>
      <c r="X21" s="22">
        <v>100214.28571428572</v>
      </c>
      <c r="Y21" s="143">
        <f t="shared" si="9"/>
        <v>0</v>
      </c>
    </row>
    <row r="22" spans="1:25">
      <c r="A22" s="2"/>
      <c r="B22" s="71">
        <v>18</v>
      </c>
      <c r="C22" s="191" t="s">
        <v>79</v>
      </c>
      <c r="D22" s="143">
        <v>68650</v>
      </c>
      <c r="E22" s="143">
        <v>100928.57142857143</v>
      </c>
      <c r="F22" s="143">
        <v>68650</v>
      </c>
      <c r="G22" s="143">
        <f t="shared" si="3"/>
        <v>0</v>
      </c>
      <c r="H22" s="143">
        <v>100928.57142857143</v>
      </c>
      <c r="I22" s="143">
        <f t="shared" si="4"/>
        <v>0</v>
      </c>
      <c r="J22" s="143">
        <v>68650</v>
      </c>
      <c r="K22" s="143">
        <f t="shared" si="5"/>
        <v>0</v>
      </c>
      <c r="L22" s="143">
        <v>100928.57142857143</v>
      </c>
      <c r="M22" s="143">
        <f t="shared" si="6"/>
        <v>0</v>
      </c>
      <c r="N22" s="143">
        <v>68650</v>
      </c>
      <c r="O22" s="234">
        <f t="shared" si="0"/>
        <v>0</v>
      </c>
      <c r="P22" s="143">
        <v>103785.71428571429</v>
      </c>
      <c r="Q22" s="143">
        <f t="shared" si="7"/>
        <v>2857.1428571428551</v>
      </c>
      <c r="R22" s="281">
        <v>68650</v>
      </c>
      <c r="S22" s="234">
        <f t="shared" si="1"/>
        <v>0</v>
      </c>
      <c r="T22" s="22">
        <v>103785.71428571429</v>
      </c>
      <c r="U22" s="143">
        <f t="shared" si="8"/>
        <v>0</v>
      </c>
      <c r="V22" s="281">
        <v>68650</v>
      </c>
      <c r="W22" s="234">
        <f t="shared" si="2"/>
        <v>0</v>
      </c>
      <c r="X22" s="22">
        <v>103785.71428571429</v>
      </c>
      <c r="Y22" s="143">
        <f t="shared" si="9"/>
        <v>0</v>
      </c>
    </row>
    <row r="23" spans="1:25">
      <c r="A23" s="2"/>
      <c r="B23" s="71">
        <v>19</v>
      </c>
      <c r="C23" s="191" t="s">
        <v>80</v>
      </c>
      <c r="D23" s="143">
        <v>55650</v>
      </c>
      <c r="E23" s="143">
        <v>83785.71428571429</v>
      </c>
      <c r="F23" s="143">
        <v>55650</v>
      </c>
      <c r="G23" s="143">
        <f t="shared" si="3"/>
        <v>0</v>
      </c>
      <c r="H23" s="143">
        <v>83785.71428571429</v>
      </c>
      <c r="I23" s="143">
        <f t="shared" si="4"/>
        <v>0</v>
      </c>
      <c r="J23" s="143">
        <v>55650</v>
      </c>
      <c r="K23" s="143">
        <f t="shared" si="5"/>
        <v>0</v>
      </c>
      <c r="L23" s="143">
        <v>83785.71428571429</v>
      </c>
      <c r="M23" s="143">
        <f t="shared" si="6"/>
        <v>0</v>
      </c>
      <c r="N23" s="143">
        <v>55650</v>
      </c>
      <c r="O23" s="234">
        <f t="shared" si="0"/>
        <v>0</v>
      </c>
      <c r="P23" s="143">
        <v>85214.285714285725</v>
      </c>
      <c r="Q23" s="143">
        <f t="shared" si="7"/>
        <v>1428.5714285714348</v>
      </c>
      <c r="R23" s="281">
        <v>55650</v>
      </c>
      <c r="S23" s="234">
        <f t="shared" si="1"/>
        <v>0</v>
      </c>
      <c r="T23" s="22">
        <v>85214.285714285725</v>
      </c>
      <c r="U23" s="143">
        <f t="shared" si="8"/>
        <v>0</v>
      </c>
      <c r="V23" s="281">
        <v>55650</v>
      </c>
      <c r="W23" s="234">
        <f t="shared" si="2"/>
        <v>0</v>
      </c>
      <c r="X23" s="22">
        <v>86642.857142857145</v>
      </c>
      <c r="Y23" s="143">
        <f t="shared" si="9"/>
        <v>1428.5714285714203</v>
      </c>
    </row>
    <row r="24" spans="1:25">
      <c r="A24" s="2"/>
      <c r="B24" s="2">
        <v>20</v>
      </c>
      <c r="C24" s="191" t="s">
        <v>85</v>
      </c>
      <c r="D24" s="143">
        <v>80000</v>
      </c>
      <c r="E24" s="143">
        <v>120000.00000000001</v>
      </c>
      <c r="F24" s="143">
        <v>80000</v>
      </c>
      <c r="G24" s="143">
        <f t="shared" si="3"/>
        <v>0</v>
      </c>
      <c r="H24" s="143">
        <v>120000.00000000001</v>
      </c>
      <c r="I24" s="143">
        <f t="shared" si="4"/>
        <v>0</v>
      </c>
      <c r="J24" s="143">
        <v>80000</v>
      </c>
      <c r="K24" s="143">
        <f t="shared" si="5"/>
        <v>0</v>
      </c>
      <c r="L24" s="143">
        <v>120000.00000000001</v>
      </c>
      <c r="M24" s="143">
        <f t="shared" si="6"/>
        <v>0</v>
      </c>
      <c r="N24" s="143">
        <v>80000</v>
      </c>
      <c r="O24" s="234">
        <f t="shared" si="0"/>
        <v>0</v>
      </c>
      <c r="P24" s="143">
        <v>120000.00000000001</v>
      </c>
      <c r="Q24" s="143">
        <f t="shared" si="7"/>
        <v>0</v>
      </c>
      <c r="R24" s="281">
        <v>80000</v>
      </c>
      <c r="S24" s="234">
        <f t="shared" si="1"/>
        <v>0</v>
      </c>
      <c r="T24" s="22">
        <v>120000.00000000001</v>
      </c>
      <c r="U24" s="143">
        <f t="shared" si="8"/>
        <v>0</v>
      </c>
      <c r="V24" s="281">
        <v>80000</v>
      </c>
      <c r="W24" s="234">
        <f t="shared" si="2"/>
        <v>0</v>
      </c>
      <c r="X24" s="22">
        <v>120000.00000000001</v>
      </c>
      <c r="Y24" s="143">
        <f t="shared" si="9"/>
        <v>0</v>
      </c>
    </row>
    <row r="25" spans="1:25">
      <c r="A25" s="2"/>
      <c r="B25" s="71">
        <v>21</v>
      </c>
      <c r="C25" s="191" t="s">
        <v>83</v>
      </c>
      <c r="D25" s="143">
        <v>72650</v>
      </c>
      <c r="E25" s="143">
        <v>106642.85714285714</v>
      </c>
      <c r="F25" s="143">
        <v>72650</v>
      </c>
      <c r="G25" s="143">
        <f t="shared" si="3"/>
        <v>0</v>
      </c>
      <c r="H25" s="143">
        <v>106642.85714285714</v>
      </c>
      <c r="I25" s="143">
        <f t="shared" si="4"/>
        <v>0</v>
      </c>
      <c r="J25" s="143">
        <v>72650</v>
      </c>
      <c r="K25" s="143">
        <f t="shared" si="5"/>
        <v>0</v>
      </c>
      <c r="L25" s="143">
        <v>106642.85714285714</v>
      </c>
      <c r="M25" s="143">
        <f t="shared" si="6"/>
        <v>0</v>
      </c>
      <c r="N25" s="143">
        <v>72650</v>
      </c>
      <c r="O25" s="234">
        <f t="shared" si="0"/>
        <v>0</v>
      </c>
      <c r="P25" s="143">
        <v>109500</v>
      </c>
      <c r="Q25" s="143">
        <f t="shared" si="7"/>
        <v>2857.1428571428551</v>
      </c>
      <c r="R25" s="281">
        <v>72650</v>
      </c>
      <c r="S25" s="234">
        <f t="shared" si="1"/>
        <v>0</v>
      </c>
      <c r="T25" s="22">
        <v>109500</v>
      </c>
      <c r="U25" s="143">
        <f t="shared" si="8"/>
        <v>0</v>
      </c>
      <c r="V25" s="281">
        <v>72650</v>
      </c>
      <c r="W25" s="234">
        <f t="shared" si="2"/>
        <v>0</v>
      </c>
      <c r="X25" s="22">
        <v>109500</v>
      </c>
      <c r="Y25" s="143">
        <f t="shared" si="9"/>
        <v>0</v>
      </c>
    </row>
    <row r="26" spans="1:25">
      <c r="A26" s="71" t="s">
        <v>847</v>
      </c>
      <c r="B26" s="71">
        <v>22</v>
      </c>
      <c r="C26" s="235" t="s">
        <v>858</v>
      </c>
      <c r="D26" s="143">
        <v>67150</v>
      </c>
      <c r="E26" s="143">
        <v>98785.71428571429</v>
      </c>
      <c r="F26" s="143">
        <v>70000</v>
      </c>
      <c r="G26" s="143">
        <f t="shared" si="3"/>
        <v>2850</v>
      </c>
      <c r="H26" s="143">
        <v>104285.71428571429</v>
      </c>
      <c r="I26" s="143">
        <f t="shared" si="4"/>
        <v>5500</v>
      </c>
      <c r="J26" s="143">
        <v>70000</v>
      </c>
      <c r="K26" s="143">
        <f t="shared" si="5"/>
        <v>0</v>
      </c>
      <c r="L26" s="143">
        <v>104285.71428571429</v>
      </c>
      <c r="M26" s="143">
        <f t="shared" si="6"/>
        <v>0</v>
      </c>
      <c r="N26" s="143">
        <v>70000</v>
      </c>
      <c r="O26" s="234">
        <f t="shared" si="0"/>
        <v>0</v>
      </c>
      <c r="P26" s="143">
        <v>105714.28571428572</v>
      </c>
      <c r="Q26" s="143">
        <f t="shared" si="7"/>
        <v>1428.5714285714348</v>
      </c>
      <c r="R26" s="281">
        <v>70000</v>
      </c>
      <c r="S26" s="234">
        <f t="shared" si="1"/>
        <v>0</v>
      </c>
      <c r="T26" s="22">
        <v>105714.28571428572</v>
      </c>
      <c r="U26" s="143">
        <f t="shared" si="8"/>
        <v>0</v>
      </c>
      <c r="V26" s="281">
        <v>70000</v>
      </c>
      <c r="W26" s="234">
        <f t="shared" si="2"/>
        <v>0</v>
      </c>
      <c r="X26" s="22">
        <v>105714.28571428572</v>
      </c>
      <c r="Y26" s="143">
        <f t="shared" si="9"/>
        <v>0</v>
      </c>
    </row>
    <row r="27" spans="1:25">
      <c r="A27" s="2"/>
      <c r="B27" s="2">
        <v>23</v>
      </c>
      <c r="C27" s="200" t="s">
        <v>615</v>
      </c>
      <c r="D27" s="143">
        <v>75000</v>
      </c>
      <c r="E27" s="143">
        <v>112857.14285714287</v>
      </c>
      <c r="F27" s="143">
        <v>75000</v>
      </c>
      <c r="G27" s="143">
        <f t="shared" si="3"/>
        <v>0</v>
      </c>
      <c r="H27" s="143">
        <v>112857.14285714287</v>
      </c>
      <c r="I27" s="143">
        <f t="shared" si="4"/>
        <v>0</v>
      </c>
      <c r="J27" s="143">
        <v>75000</v>
      </c>
      <c r="K27" s="143">
        <f t="shared" si="5"/>
        <v>0</v>
      </c>
      <c r="L27" s="143">
        <v>112857.14285714287</v>
      </c>
      <c r="M27" s="143">
        <f t="shared" si="6"/>
        <v>0</v>
      </c>
      <c r="N27" s="143">
        <v>75000</v>
      </c>
      <c r="O27" s="234">
        <f t="shared" si="0"/>
        <v>0</v>
      </c>
      <c r="P27" s="143">
        <v>112857.14285714287</v>
      </c>
      <c r="Q27" s="143">
        <f t="shared" si="7"/>
        <v>0</v>
      </c>
      <c r="R27" s="281">
        <v>75000</v>
      </c>
      <c r="S27" s="234">
        <f t="shared" si="1"/>
        <v>0</v>
      </c>
      <c r="T27" s="22">
        <v>112857.14285714287</v>
      </c>
      <c r="U27" s="143">
        <f t="shared" si="8"/>
        <v>0</v>
      </c>
      <c r="V27" s="281">
        <v>75000</v>
      </c>
      <c r="W27" s="234">
        <f t="shared" si="2"/>
        <v>0</v>
      </c>
      <c r="X27" s="22">
        <v>112857.14285714287</v>
      </c>
      <c r="Y27" s="143">
        <f t="shared" si="9"/>
        <v>0</v>
      </c>
    </row>
    <row r="28" spans="1:25">
      <c r="A28" s="2"/>
      <c r="B28" s="71">
        <v>24</v>
      </c>
      <c r="C28" s="191" t="s">
        <v>84</v>
      </c>
      <c r="D28" s="143">
        <v>71150</v>
      </c>
      <c r="E28" s="143">
        <v>104500</v>
      </c>
      <c r="F28" s="143">
        <v>71150</v>
      </c>
      <c r="G28" s="143">
        <f t="shared" si="3"/>
        <v>0</v>
      </c>
      <c r="H28" s="143">
        <v>104500</v>
      </c>
      <c r="I28" s="143">
        <f t="shared" si="4"/>
        <v>0</v>
      </c>
      <c r="J28" s="143">
        <v>71150</v>
      </c>
      <c r="K28" s="143">
        <f t="shared" si="5"/>
        <v>0</v>
      </c>
      <c r="L28" s="143">
        <v>104500</v>
      </c>
      <c r="M28" s="143">
        <f t="shared" si="6"/>
        <v>0</v>
      </c>
      <c r="N28" s="143">
        <v>71150</v>
      </c>
      <c r="O28" s="234">
        <f t="shared" si="0"/>
        <v>0</v>
      </c>
      <c r="P28" s="143">
        <v>107357.14285714287</v>
      </c>
      <c r="Q28" s="143">
        <f t="shared" si="7"/>
        <v>2857.1428571428696</v>
      </c>
      <c r="R28" s="281">
        <v>71150</v>
      </c>
      <c r="S28" s="234">
        <f t="shared" si="1"/>
        <v>0</v>
      </c>
      <c r="T28" s="22">
        <v>107357.14285714287</v>
      </c>
      <c r="U28" s="143">
        <f t="shared" si="8"/>
        <v>0</v>
      </c>
      <c r="V28" s="281">
        <v>71150</v>
      </c>
      <c r="W28" s="234">
        <f t="shared" si="2"/>
        <v>0</v>
      </c>
      <c r="X28" s="22">
        <v>107357.14285714287</v>
      </c>
      <c r="Y28" s="143">
        <f t="shared" si="9"/>
        <v>0</v>
      </c>
    </row>
    <row r="29" spans="1:25">
      <c r="A29" s="2"/>
      <c r="B29" s="71">
        <v>25</v>
      </c>
      <c r="C29" s="200" t="s">
        <v>616</v>
      </c>
      <c r="D29" s="143">
        <v>75000</v>
      </c>
      <c r="E29" s="143">
        <v>112857.14285714287</v>
      </c>
      <c r="F29" s="143">
        <v>75000</v>
      </c>
      <c r="G29" s="143">
        <f t="shared" si="3"/>
        <v>0</v>
      </c>
      <c r="H29" s="143">
        <v>112857.14285714287</v>
      </c>
      <c r="I29" s="143">
        <f t="shared" si="4"/>
        <v>0</v>
      </c>
      <c r="J29" s="143">
        <v>75000</v>
      </c>
      <c r="K29" s="143">
        <f t="shared" si="5"/>
        <v>0</v>
      </c>
      <c r="L29" s="143">
        <v>112857.14285714287</v>
      </c>
      <c r="M29" s="143">
        <f t="shared" si="6"/>
        <v>0</v>
      </c>
      <c r="N29" s="143">
        <v>75000</v>
      </c>
      <c r="O29" s="234">
        <f t="shared" si="0"/>
        <v>0</v>
      </c>
      <c r="P29" s="143">
        <v>112857.14285714287</v>
      </c>
      <c r="Q29" s="143">
        <f t="shared" si="7"/>
        <v>0</v>
      </c>
      <c r="R29" s="281">
        <v>75000</v>
      </c>
      <c r="S29" s="234">
        <f t="shared" si="1"/>
        <v>0</v>
      </c>
      <c r="T29" s="22">
        <v>112857.14285714287</v>
      </c>
      <c r="U29" s="143">
        <f t="shared" si="8"/>
        <v>0</v>
      </c>
      <c r="V29" s="281">
        <v>75000</v>
      </c>
      <c r="W29" s="234">
        <f t="shared" si="2"/>
        <v>0</v>
      </c>
      <c r="X29" s="22">
        <v>112857.14285714287</v>
      </c>
      <c r="Y29" s="143">
        <f t="shared" si="9"/>
        <v>0</v>
      </c>
    </row>
    <row r="30" spans="1:25">
      <c r="A30" s="2"/>
      <c r="B30" s="2">
        <v>26</v>
      </c>
      <c r="C30" s="191" t="s">
        <v>82</v>
      </c>
      <c r="D30" s="143">
        <v>75000</v>
      </c>
      <c r="E30" s="143">
        <v>110000</v>
      </c>
      <c r="F30" s="143">
        <v>75000</v>
      </c>
      <c r="G30" s="143">
        <f t="shared" si="3"/>
        <v>0</v>
      </c>
      <c r="H30" s="143">
        <v>111428.57142857143</v>
      </c>
      <c r="I30" s="143">
        <f t="shared" si="4"/>
        <v>1428.5714285714348</v>
      </c>
      <c r="J30" s="143">
        <v>75000</v>
      </c>
      <c r="K30" s="143">
        <f t="shared" si="5"/>
        <v>0</v>
      </c>
      <c r="L30" s="143">
        <v>111428.57142857143</v>
      </c>
      <c r="M30" s="143">
        <f t="shared" si="6"/>
        <v>0</v>
      </c>
      <c r="N30" s="143">
        <v>75000</v>
      </c>
      <c r="O30" s="234">
        <f t="shared" si="0"/>
        <v>0</v>
      </c>
      <c r="P30" s="143">
        <v>112857.14285714287</v>
      </c>
      <c r="Q30" s="143">
        <f t="shared" si="7"/>
        <v>1428.5714285714348</v>
      </c>
      <c r="R30" s="281">
        <v>75000</v>
      </c>
      <c r="S30" s="234">
        <f t="shared" si="1"/>
        <v>0</v>
      </c>
      <c r="T30" s="22">
        <v>112857.14285714287</v>
      </c>
      <c r="U30" s="143">
        <f t="shared" si="8"/>
        <v>0</v>
      </c>
      <c r="V30" s="281">
        <v>75000</v>
      </c>
      <c r="W30" s="234">
        <f t="shared" si="2"/>
        <v>0</v>
      </c>
      <c r="X30" s="22">
        <v>112857.14285714287</v>
      </c>
      <c r="Y30" s="143">
        <f t="shared" si="9"/>
        <v>0</v>
      </c>
    </row>
    <row r="31" spans="1:25">
      <c r="A31" s="2"/>
      <c r="B31" s="71">
        <v>27</v>
      </c>
      <c r="C31" s="191" t="s">
        <v>86</v>
      </c>
      <c r="D31" s="143">
        <v>65000</v>
      </c>
      <c r="E31" s="143">
        <v>95714.285714285725</v>
      </c>
      <c r="F31" s="143">
        <v>65000</v>
      </c>
      <c r="G31" s="143">
        <f t="shared" si="3"/>
        <v>0</v>
      </c>
      <c r="H31" s="143">
        <v>95714.285714285725</v>
      </c>
      <c r="I31" s="143">
        <f t="shared" si="4"/>
        <v>0</v>
      </c>
      <c r="J31" s="143">
        <v>65000</v>
      </c>
      <c r="K31" s="143">
        <f t="shared" si="5"/>
        <v>0</v>
      </c>
      <c r="L31" s="143">
        <v>95714.285714285725</v>
      </c>
      <c r="M31" s="143">
        <f t="shared" si="6"/>
        <v>0</v>
      </c>
      <c r="N31" s="143">
        <v>65000</v>
      </c>
      <c r="O31" s="234">
        <f t="shared" si="0"/>
        <v>0</v>
      </c>
      <c r="P31" s="143">
        <v>98571.42857142858</v>
      </c>
      <c r="Q31" s="143">
        <f t="shared" si="7"/>
        <v>2857.1428571428551</v>
      </c>
      <c r="R31" s="281">
        <v>65000</v>
      </c>
      <c r="S31" s="234">
        <f t="shared" si="1"/>
        <v>0</v>
      </c>
      <c r="T31" s="22">
        <v>98571.42857142858</v>
      </c>
      <c r="U31" s="143">
        <f t="shared" si="8"/>
        <v>0</v>
      </c>
      <c r="V31" s="281">
        <v>65000</v>
      </c>
      <c r="W31" s="234">
        <f t="shared" si="2"/>
        <v>0</v>
      </c>
      <c r="X31" s="22">
        <v>98571.42857142858</v>
      </c>
      <c r="Y31" s="143">
        <f t="shared" si="9"/>
        <v>0</v>
      </c>
    </row>
    <row r="32" spans="1:25">
      <c r="A32" s="71" t="s">
        <v>847</v>
      </c>
      <c r="B32" s="71">
        <v>28</v>
      </c>
      <c r="C32" s="235" t="s">
        <v>835</v>
      </c>
      <c r="D32" s="143">
        <v>75000</v>
      </c>
      <c r="E32" s="143">
        <v>112857.14285714287</v>
      </c>
      <c r="F32" s="143">
        <v>76150</v>
      </c>
      <c r="G32" s="143">
        <f t="shared" si="3"/>
        <v>1150</v>
      </c>
      <c r="H32" s="143">
        <v>114500</v>
      </c>
      <c r="I32" s="143">
        <f t="shared" si="4"/>
        <v>1642.8571428571304</v>
      </c>
      <c r="J32" s="143">
        <v>76150</v>
      </c>
      <c r="K32" s="143">
        <f t="shared" si="5"/>
        <v>0</v>
      </c>
      <c r="L32" s="143">
        <v>114500</v>
      </c>
      <c r="M32" s="143">
        <f t="shared" si="6"/>
        <v>0</v>
      </c>
      <c r="N32" s="143">
        <v>76150</v>
      </c>
      <c r="O32" s="234">
        <f t="shared" si="0"/>
        <v>0</v>
      </c>
      <c r="P32" s="143">
        <v>114500</v>
      </c>
      <c r="Q32" s="143">
        <f t="shared" si="7"/>
        <v>0</v>
      </c>
      <c r="R32" s="281">
        <v>76150</v>
      </c>
      <c r="S32" s="234">
        <f t="shared" si="1"/>
        <v>0</v>
      </c>
      <c r="T32" s="22">
        <v>114500</v>
      </c>
      <c r="U32" s="143">
        <f t="shared" si="8"/>
        <v>0</v>
      </c>
      <c r="V32" s="281">
        <v>76150</v>
      </c>
      <c r="W32" s="234">
        <f t="shared" si="2"/>
        <v>0</v>
      </c>
      <c r="X32" s="22">
        <v>114500</v>
      </c>
      <c r="Y32" s="143">
        <f t="shared" si="9"/>
        <v>0</v>
      </c>
    </row>
    <row r="33" spans="1:25">
      <c r="A33" s="2"/>
      <c r="B33" s="2">
        <v>29</v>
      </c>
      <c r="C33" s="200" t="s">
        <v>617</v>
      </c>
      <c r="D33" s="143">
        <v>75000</v>
      </c>
      <c r="E33" s="143">
        <v>111428.57142857143</v>
      </c>
      <c r="F33" s="143">
        <v>75000</v>
      </c>
      <c r="G33" s="143">
        <f t="shared" si="3"/>
        <v>0</v>
      </c>
      <c r="H33" s="143">
        <v>112857.14285714287</v>
      </c>
      <c r="I33" s="143">
        <f t="shared" si="4"/>
        <v>1428.5714285714348</v>
      </c>
      <c r="J33" s="143">
        <v>75000</v>
      </c>
      <c r="K33" s="143">
        <f t="shared" si="5"/>
        <v>0</v>
      </c>
      <c r="L33" s="143">
        <v>112857.14285714287</v>
      </c>
      <c r="M33" s="143">
        <f t="shared" si="6"/>
        <v>0</v>
      </c>
      <c r="N33" s="143">
        <v>75000</v>
      </c>
      <c r="O33" s="234">
        <f t="shared" si="0"/>
        <v>0</v>
      </c>
      <c r="P33" s="143">
        <v>114285.71428571429</v>
      </c>
      <c r="Q33" s="143">
        <f t="shared" si="7"/>
        <v>1428.5714285714203</v>
      </c>
      <c r="R33" s="281">
        <v>75000</v>
      </c>
      <c r="S33" s="234">
        <f t="shared" si="1"/>
        <v>0</v>
      </c>
      <c r="T33" s="22">
        <v>114285.71428571429</v>
      </c>
      <c r="U33" s="143">
        <f t="shared" si="8"/>
        <v>0</v>
      </c>
      <c r="V33" s="281">
        <v>75000</v>
      </c>
      <c r="W33" s="234">
        <f t="shared" si="2"/>
        <v>0</v>
      </c>
      <c r="X33" s="22">
        <v>114285.71428571429</v>
      </c>
      <c r="Y33" s="143">
        <f t="shared" si="9"/>
        <v>0</v>
      </c>
    </row>
    <row r="34" spans="1:25">
      <c r="A34" s="2"/>
      <c r="B34" s="71">
        <v>30</v>
      </c>
      <c r="C34" s="191" t="s">
        <v>87</v>
      </c>
      <c r="D34" s="143">
        <v>70000</v>
      </c>
      <c r="E34" s="143">
        <v>100000</v>
      </c>
      <c r="F34" s="143">
        <v>70000</v>
      </c>
      <c r="G34" s="143">
        <f t="shared" si="3"/>
        <v>0</v>
      </c>
      <c r="H34" s="143">
        <v>100000</v>
      </c>
      <c r="I34" s="143">
        <f t="shared" si="4"/>
        <v>0</v>
      </c>
      <c r="J34" s="143">
        <v>70000</v>
      </c>
      <c r="K34" s="143">
        <f t="shared" si="5"/>
        <v>0</v>
      </c>
      <c r="L34" s="143">
        <v>100000</v>
      </c>
      <c r="M34" s="143">
        <f t="shared" si="6"/>
        <v>0</v>
      </c>
      <c r="N34" s="143">
        <v>70000</v>
      </c>
      <c r="O34" s="234">
        <f t="shared" si="0"/>
        <v>0</v>
      </c>
      <c r="P34" s="143">
        <v>100000</v>
      </c>
      <c r="Q34" s="143">
        <f t="shared" si="7"/>
        <v>0</v>
      </c>
      <c r="R34" s="281">
        <v>70000</v>
      </c>
      <c r="S34" s="234">
        <f t="shared" si="1"/>
        <v>0</v>
      </c>
      <c r="T34" s="22">
        <v>100000</v>
      </c>
      <c r="U34" s="143">
        <f t="shared" si="8"/>
        <v>0</v>
      </c>
      <c r="V34" s="281">
        <v>70000</v>
      </c>
      <c r="W34" s="234">
        <f t="shared" si="2"/>
        <v>0</v>
      </c>
      <c r="X34" s="22">
        <v>104285.71428571429</v>
      </c>
      <c r="Y34" s="143">
        <f t="shared" si="9"/>
        <v>4285.7142857142899</v>
      </c>
    </row>
    <row r="35" spans="1:25">
      <c r="A35" s="2"/>
      <c r="B35" s="71">
        <v>31</v>
      </c>
      <c r="C35" s="191" t="s">
        <v>89</v>
      </c>
      <c r="D35" s="143">
        <v>65000</v>
      </c>
      <c r="E35" s="143">
        <v>95714.285714285725</v>
      </c>
      <c r="F35" s="143">
        <v>65000</v>
      </c>
      <c r="G35" s="143">
        <f t="shared" si="3"/>
        <v>0</v>
      </c>
      <c r="H35" s="143">
        <v>95714.285714285725</v>
      </c>
      <c r="I35" s="143">
        <f t="shared" si="4"/>
        <v>0</v>
      </c>
      <c r="J35" s="143">
        <v>65000</v>
      </c>
      <c r="K35" s="143">
        <f t="shared" si="5"/>
        <v>0</v>
      </c>
      <c r="L35" s="143">
        <v>95714.285714285725</v>
      </c>
      <c r="M35" s="143">
        <f t="shared" si="6"/>
        <v>0</v>
      </c>
      <c r="N35" s="143">
        <v>65000</v>
      </c>
      <c r="O35" s="234">
        <f t="shared" si="0"/>
        <v>0</v>
      </c>
      <c r="P35" s="143">
        <v>98571.42857142858</v>
      </c>
      <c r="Q35" s="143">
        <f t="shared" si="7"/>
        <v>2857.1428571428551</v>
      </c>
      <c r="R35" s="281">
        <v>65000</v>
      </c>
      <c r="S35" s="234">
        <f t="shared" si="1"/>
        <v>0</v>
      </c>
      <c r="T35" s="22">
        <v>98571.42857142858</v>
      </c>
      <c r="U35" s="143">
        <f t="shared" si="8"/>
        <v>0</v>
      </c>
      <c r="V35" s="281">
        <v>65000</v>
      </c>
      <c r="W35" s="234">
        <f t="shared" si="2"/>
        <v>0</v>
      </c>
      <c r="X35" s="22">
        <v>98571.42857142858</v>
      </c>
      <c r="Y35" s="143">
        <f t="shared" si="9"/>
        <v>0</v>
      </c>
    </row>
    <row r="36" spans="1:25">
      <c r="A36" s="2"/>
      <c r="B36" s="2">
        <v>32</v>
      </c>
      <c r="C36" s="191" t="s">
        <v>90</v>
      </c>
      <c r="D36" s="143">
        <v>75000</v>
      </c>
      <c r="E36" s="143">
        <v>112857.14285714287</v>
      </c>
      <c r="F36" s="143">
        <v>75000</v>
      </c>
      <c r="G36" s="143">
        <f t="shared" si="3"/>
        <v>0</v>
      </c>
      <c r="H36" s="143">
        <v>111428.57142857143</v>
      </c>
      <c r="I36" s="143">
        <f t="shared" si="4"/>
        <v>-1428.5714285714348</v>
      </c>
      <c r="J36" s="143">
        <v>75000</v>
      </c>
      <c r="K36" s="143">
        <f t="shared" si="5"/>
        <v>0</v>
      </c>
      <c r="L36" s="143">
        <v>111428.57142857143</v>
      </c>
      <c r="M36" s="143">
        <f t="shared" si="6"/>
        <v>0</v>
      </c>
      <c r="N36" s="143">
        <v>75000</v>
      </c>
      <c r="O36" s="234">
        <f t="shared" si="0"/>
        <v>0</v>
      </c>
      <c r="P36" s="143">
        <v>112857.14285714287</v>
      </c>
      <c r="Q36" s="143">
        <f t="shared" si="7"/>
        <v>1428.5714285714348</v>
      </c>
      <c r="R36" s="281">
        <v>75000</v>
      </c>
      <c r="S36" s="234">
        <f t="shared" si="1"/>
        <v>0</v>
      </c>
      <c r="T36" s="22">
        <v>112857.14285714287</v>
      </c>
      <c r="U36" s="143">
        <f t="shared" si="8"/>
        <v>0</v>
      </c>
      <c r="V36" s="281">
        <v>75000</v>
      </c>
      <c r="W36" s="234">
        <f t="shared" si="2"/>
        <v>0</v>
      </c>
      <c r="X36" s="22">
        <v>112857.14285714287</v>
      </c>
      <c r="Y36" s="143">
        <f t="shared" si="9"/>
        <v>0</v>
      </c>
    </row>
    <row r="37" spans="1:25">
      <c r="A37" s="2"/>
      <c r="B37" s="71">
        <v>33</v>
      </c>
      <c r="C37" s="191" t="s">
        <v>91</v>
      </c>
      <c r="D37" s="143">
        <v>72500</v>
      </c>
      <c r="E37" s="143">
        <v>109285.71428571429</v>
      </c>
      <c r="F37" s="143">
        <v>72500</v>
      </c>
      <c r="G37" s="143">
        <f t="shared" si="3"/>
        <v>0</v>
      </c>
      <c r="H37" s="143">
        <v>107857.14285714287</v>
      </c>
      <c r="I37" s="143">
        <f t="shared" si="4"/>
        <v>-1428.5714285714203</v>
      </c>
      <c r="J37" s="143">
        <v>72500</v>
      </c>
      <c r="K37" s="143">
        <f t="shared" si="5"/>
        <v>0</v>
      </c>
      <c r="L37" s="143">
        <v>107857.14285714287</v>
      </c>
      <c r="M37" s="143">
        <f t="shared" si="6"/>
        <v>0</v>
      </c>
      <c r="N37" s="143">
        <v>72500</v>
      </c>
      <c r="O37" s="234">
        <f t="shared" si="0"/>
        <v>0</v>
      </c>
      <c r="P37" s="143">
        <v>109285.71428571429</v>
      </c>
      <c r="Q37" s="143">
        <f t="shared" si="7"/>
        <v>1428.5714285714203</v>
      </c>
      <c r="R37" s="281">
        <v>72500</v>
      </c>
      <c r="S37" s="234">
        <f t="shared" si="1"/>
        <v>0</v>
      </c>
      <c r="T37" s="22">
        <v>109285.71428571429</v>
      </c>
      <c r="U37" s="143">
        <f t="shared" si="8"/>
        <v>0</v>
      </c>
      <c r="V37" s="281">
        <v>72500</v>
      </c>
      <c r="W37" s="234">
        <f t="shared" si="2"/>
        <v>0</v>
      </c>
      <c r="X37" s="22">
        <v>109285.71428571429</v>
      </c>
      <c r="Y37" s="143">
        <f t="shared" si="9"/>
        <v>0</v>
      </c>
    </row>
    <row r="38" spans="1:25">
      <c r="A38" s="2"/>
      <c r="B38" s="71">
        <v>34</v>
      </c>
      <c r="C38" s="191" t="s">
        <v>92</v>
      </c>
      <c r="D38" s="143">
        <v>75000</v>
      </c>
      <c r="E38" s="143">
        <v>112857.14285714287</v>
      </c>
      <c r="F38" s="143">
        <v>75000</v>
      </c>
      <c r="G38" s="143">
        <f t="shared" si="3"/>
        <v>0</v>
      </c>
      <c r="H38" s="143">
        <v>111428.57142857143</v>
      </c>
      <c r="I38" s="143">
        <f t="shared" si="4"/>
        <v>-1428.5714285714348</v>
      </c>
      <c r="J38" s="143">
        <v>75000</v>
      </c>
      <c r="K38" s="143">
        <f t="shared" si="5"/>
        <v>0</v>
      </c>
      <c r="L38" s="143">
        <v>111428.57142857143</v>
      </c>
      <c r="M38" s="143">
        <f t="shared" si="6"/>
        <v>0</v>
      </c>
      <c r="N38" s="143">
        <v>75000</v>
      </c>
      <c r="O38" s="234">
        <f t="shared" si="0"/>
        <v>0</v>
      </c>
      <c r="P38" s="143">
        <v>112857.14285714287</v>
      </c>
      <c r="Q38" s="143">
        <f t="shared" si="7"/>
        <v>1428.5714285714348</v>
      </c>
      <c r="R38" s="281">
        <v>75000</v>
      </c>
      <c r="S38" s="234">
        <f t="shared" si="1"/>
        <v>0</v>
      </c>
      <c r="T38" s="22">
        <v>112857.14285714287</v>
      </c>
      <c r="U38" s="143">
        <f t="shared" si="8"/>
        <v>0</v>
      </c>
      <c r="V38" s="281">
        <v>75000</v>
      </c>
      <c r="W38" s="234">
        <f t="shared" si="2"/>
        <v>0</v>
      </c>
      <c r="X38" s="22">
        <v>112857.14285714287</v>
      </c>
      <c r="Y38" s="143">
        <f t="shared" si="9"/>
        <v>0</v>
      </c>
    </row>
    <row r="39" spans="1:25">
      <c r="A39" s="71" t="s">
        <v>843</v>
      </c>
      <c r="B39" s="2">
        <v>35</v>
      </c>
      <c r="C39" s="200" t="s">
        <v>844</v>
      </c>
      <c r="D39" s="143">
        <v>70000</v>
      </c>
      <c r="E39" s="143">
        <v>102857.14285714287</v>
      </c>
      <c r="F39" s="143">
        <v>70000</v>
      </c>
      <c r="G39" s="143">
        <f t="shared" si="3"/>
        <v>0</v>
      </c>
      <c r="H39" s="143">
        <v>104285.71428571429</v>
      </c>
      <c r="I39" s="143">
        <f t="shared" si="4"/>
        <v>1428.5714285714203</v>
      </c>
      <c r="J39" s="143">
        <v>70000</v>
      </c>
      <c r="K39" s="143">
        <f t="shared" si="5"/>
        <v>0</v>
      </c>
      <c r="L39" s="143">
        <v>104285.71428571429</v>
      </c>
      <c r="M39" s="143">
        <f t="shared" si="6"/>
        <v>0</v>
      </c>
      <c r="N39" s="143">
        <v>70000</v>
      </c>
      <c r="O39" s="234">
        <f t="shared" si="0"/>
        <v>0</v>
      </c>
      <c r="P39" s="143">
        <v>105714.28571428572</v>
      </c>
      <c r="Q39" s="143">
        <f t="shared" si="7"/>
        <v>1428.5714285714348</v>
      </c>
      <c r="R39" s="281">
        <v>70000</v>
      </c>
      <c r="S39" s="234">
        <f t="shared" si="1"/>
        <v>0</v>
      </c>
      <c r="T39" s="22">
        <v>105714.28571428572</v>
      </c>
      <c r="U39" s="143">
        <f t="shared" si="8"/>
        <v>0</v>
      </c>
      <c r="V39" s="281">
        <v>70000</v>
      </c>
      <c r="W39" s="234">
        <f t="shared" si="2"/>
        <v>0</v>
      </c>
      <c r="X39" s="22">
        <v>105714.28571428572</v>
      </c>
      <c r="Y39" s="143">
        <f t="shared" si="9"/>
        <v>0</v>
      </c>
    </row>
    <row r="40" spans="1:25">
      <c r="A40" s="2"/>
      <c r="B40" s="71">
        <v>36</v>
      </c>
      <c r="C40" s="191" t="s">
        <v>93</v>
      </c>
      <c r="D40" s="143">
        <v>65000</v>
      </c>
      <c r="E40" s="143">
        <v>98571.42857142858</v>
      </c>
      <c r="F40" s="143">
        <v>65000</v>
      </c>
      <c r="G40" s="143">
        <f t="shared" si="3"/>
        <v>0</v>
      </c>
      <c r="H40" s="143">
        <v>98571.42857142858</v>
      </c>
      <c r="I40" s="143">
        <f t="shared" si="4"/>
        <v>0</v>
      </c>
      <c r="J40" s="143">
        <v>65000</v>
      </c>
      <c r="K40" s="143">
        <f t="shared" si="5"/>
        <v>0</v>
      </c>
      <c r="L40" s="143">
        <v>98571.42857142858</v>
      </c>
      <c r="M40" s="143">
        <f t="shared" si="6"/>
        <v>0</v>
      </c>
      <c r="N40" s="143">
        <v>65000</v>
      </c>
      <c r="O40" s="234">
        <f t="shared" si="0"/>
        <v>0</v>
      </c>
      <c r="P40" s="143">
        <v>98571.42857142858</v>
      </c>
      <c r="Q40" s="143">
        <f t="shared" si="7"/>
        <v>0</v>
      </c>
      <c r="R40" s="281">
        <v>65000</v>
      </c>
      <c r="S40" s="234">
        <f t="shared" si="1"/>
        <v>0</v>
      </c>
      <c r="T40" s="22">
        <v>98571.42857142858</v>
      </c>
      <c r="U40" s="143">
        <f t="shared" si="8"/>
        <v>0</v>
      </c>
      <c r="V40" s="281">
        <v>65000</v>
      </c>
      <c r="W40" s="234">
        <f t="shared" si="2"/>
        <v>0</v>
      </c>
      <c r="X40" s="22">
        <v>98571.42857142858</v>
      </c>
      <c r="Y40" s="143">
        <f t="shared" si="9"/>
        <v>0</v>
      </c>
    </row>
    <row r="41" spans="1:25">
      <c r="A41" s="71" t="s">
        <v>847</v>
      </c>
      <c r="B41" s="71">
        <v>37</v>
      </c>
      <c r="C41" s="235" t="s">
        <v>836</v>
      </c>
      <c r="D41" s="143">
        <v>65000</v>
      </c>
      <c r="E41" s="143">
        <v>95714.285714285725</v>
      </c>
      <c r="F41" s="143">
        <v>85000</v>
      </c>
      <c r="G41" s="143">
        <f t="shared" si="3"/>
        <v>20000</v>
      </c>
      <c r="H41" s="143">
        <v>124285.71428571429</v>
      </c>
      <c r="I41" s="143">
        <f t="shared" si="4"/>
        <v>28571.428571428565</v>
      </c>
      <c r="J41" s="143">
        <v>85000</v>
      </c>
      <c r="K41" s="143">
        <f t="shared" si="5"/>
        <v>0</v>
      </c>
      <c r="L41" s="143">
        <v>124285.71428571429</v>
      </c>
      <c r="M41" s="143">
        <f t="shared" si="6"/>
        <v>0</v>
      </c>
      <c r="N41" s="143">
        <v>85000</v>
      </c>
      <c r="O41" s="234">
        <f t="shared" si="0"/>
        <v>0</v>
      </c>
      <c r="P41" s="143">
        <v>124285.71428571429</v>
      </c>
      <c r="Q41" s="143">
        <f t="shared" si="7"/>
        <v>0</v>
      </c>
      <c r="R41" s="281">
        <v>85000</v>
      </c>
      <c r="S41" s="234">
        <f t="shared" si="1"/>
        <v>0</v>
      </c>
      <c r="T41" s="22">
        <v>124285.71428571429</v>
      </c>
      <c r="U41" s="143">
        <f t="shared" si="8"/>
        <v>0</v>
      </c>
      <c r="V41" s="281">
        <v>85000</v>
      </c>
      <c r="W41" s="234">
        <f t="shared" si="2"/>
        <v>0</v>
      </c>
      <c r="X41" s="22">
        <v>124285.71428571429</v>
      </c>
      <c r="Y41" s="143">
        <f t="shared" si="9"/>
        <v>0</v>
      </c>
    </row>
    <row r="42" spans="1:25">
      <c r="A42" s="2"/>
      <c r="B42" s="2">
        <v>38</v>
      </c>
      <c r="C42" s="191" t="s">
        <v>94</v>
      </c>
      <c r="D42" s="143">
        <v>75000</v>
      </c>
      <c r="E42" s="143">
        <v>112857.14285714287</v>
      </c>
      <c r="F42" s="143">
        <v>75000</v>
      </c>
      <c r="G42" s="143">
        <f t="shared" si="3"/>
        <v>0</v>
      </c>
      <c r="H42" s="143">
        <v>111428.57142857143</v>
      </c>
      <c r="I42" s="143">
        <f t="shared" si="4"/>
        <v>-1428.5714285714348</v>
      </c>
      <c r="J42" s="143">
        <v>75000</v>
      </c>
      <c r="K42" s="143">
        <f t="shared" si="5"/>
        <v>0</v>
      </c>
      <c r="L42" s="143">
        <v>111428.57142857143</v>
      </c>
      <c r="M42" s="143">
        <f t="shared" si="6"/>
        <v>0</v>
      </c>
      <c r="N42" s="143">
        <v>75000</v>
      </c>
      <c r="O42" s="234">
        <f t="shared" si="0"/>
        <v>0</v>
      </c>
      <c r="P42" s="143">
        <v>112857.14285714287</v>
      </c>
      <c r="Q42" s="143">
        <f t="shared" si="7"/>
        <v>1428.5714285714348</v>
      </c>
      <c r="R42" s="281">
        <v>75000</v>
      </c>
      <c r="S42" s="234">
        <f t="shared" si="1"/>
        <v>0</v>
      </c>
      <c r="T42" s="22">
        <v>112857.14285714287</v>
      </c>
      <c r="U42" s="143">
        <f t="shared" si="8"/>
        <v>0</v>
      </c>
      <c r="V42" s="281">
        <v>57150</v>
      </c>
      <c r="W42" s="234">
        <f t="shared" si="2"/>
        <v>-17850</v>
      </c>
      <c r="X42" s="22">
        <v>88785.71428571429</v>
      </c>
      <c r="Y42" s="143">
        <f t="shared" si="9"/>
        <v>-24071.42857142858</v>
      </c>
    </row>
    <row r="43" spans="1:25">
      <c r="A43" s="2"/>
      <c r="B43" s="71">
        <v>39</v>
      </c>
      <c r="C43" s="200" t="s">
        <v>618</v>
      </c>
      <c r="D43" s="143">
        <v>100000</v>
      </c>
      <c r="E43" s="143">
        <v>142857.14285714287</v>
      </c>
      <c r="F43" s="143">
        <v>100000</v>
      </c>
      <c r="G43" s="143">
        <f t="shared" si="3"/>
        <v>0</v>
      </c>
      <c r="H43" s="143">
        <v>144285.71428571429</v>
      </c>
      <c r="I43" s="143">
        <f t="shared" si="4"/>
        <v>1428.5714285714203</v>
      </c>
      <c r="J43" s="143">
        <v>100000</v>
      </c>
      <c r="K43" s="143">
        <f t="shared" si="5"/>
        <v>0</v>
      </c>
      <c r="L43" s="143">
        <v>144285.71428571429</v>
      </c>
      <c r="M43" s="143">
        <f t="shared" si="6"/>
        <v>0</v>
      </c>
      <c r="N43" s="143">
        <v>100000</v>
      </c>
      <c r="O43" s="234">
        <f t="shared" si="0"/>
        <v>0</v>
      </c>
      <c r="P43" s="143">
        <v>144285.71428571429</v>
      </c>
      <c r="Q43" s="143">
        <f t="shared" si="7"/>
        <v>0</v>
      </c>
      <c r="R43" s="281">
        <v>100000</v>
      </c>
      <c r="S43" s="234">
        <f t="shared" si="1"/>
        <v>0</v>
      </c>
      <c r="T43" s="22">
        <v>144285.71428571429</v>
      </c>
      <c r="U43" s="143">
        <f t="shared" si="8"/>
        <v>0</v>
      </c>
      <c r="V43" s="281">
        <v>100000</v>
      </c>
      <c r="W43" s="234">
        <f t="shared" si="2"/>
        <v>0</v>
      </c>
      <c r="X43" s="22">
        <v>144285.71428571429</v>
      </c>
      <c r="Y43" s="143">
        <f t="shared" si="9"/>
        <v>0</v>
      </c>
    </row>
    <row r="44" spans="1:25">
      <c r="A44" s="2"/>
      <c r="B44" s="71">
        <v>40</v>
      </c>
      <c r="C44" s="200" t="s">
        <v>619</v>
      </c>
      <c r="D44" s="143">
        <v>90000</v>
      </c>
      <c r="E44" s="143">
        <v>125714.28571428572</v>
      </c>
      <c r="F44" s="143">
        <v>90000</v>
      </c>
      <c r="G44" s="143">
        <f t="shared" si="3"/>
        <v>0</v>
      </c>
      <c r="H44" s="143">
        <v>125714.28571428572</v>
      </c>
      <c r="I44" s="143">
        <f t="shared" si="4"/>
        <v>0</v>
      </c>
      <c r="J44" s="143">
        <v>90000</v>
      </c>
      <c r="K44" s="143">
        <f t="shared" si="5"/>
        <v>0</v>
      </c>
      <c r="L44" s="143">
        <v>125714.28571428572</v>
      </c>
      <c r="M44" s="143">
        <f t="shared" si="6"/>
        <v>0</v>
      </c>
      <c r="N44" s="143">
        <v>90000</v>
      </c>
      <c r="O44" s="234">
        <f t="shared" si="0"/>
        <v>0</v>
      </c>
      <c r="P44" s="143">
        <v>125714.28571428572</v>
      </c>
      <c r="Q44" s="143">
        <f t="shared" si="7"/>
        <v>0</v>
      </c>
      <c r="R44" s="281">
        <v>90000</v>
      </c>
      <c r="S44" s="234">
        <f t="shared" si="1"/>
        <v>0</v>
      </c>
      <c r="T44" s="22">
        <v>125714.28571428572</v>
      </c>
      <c r="U44" s="143">
        <f t="shared" si="8"/>
        <v>0</v>
      </c>
      <c r="V44" s="281">
        <v>90000</v>
      </c>
      <c r="W44" s="234">
        <f t="shared" si="2"/>
        <v>0</v>
      </c>
      <c r="X44" s="22">
        <v>125714.28571428572</v>
      </c>
      <c r="Y44" s="143">
        <f t="shared" si="9"/>
        <v>0</v>
      </c>
    </row>
    <row r="45" spans="1:25">
      <c r="A45" s="2"/>
      <c r="B45" s="2">
        <v>41</v>
      </c>
      <c r="C45" s="191" t="s">
        <v>96</v>
      </c>
      <c r="D45" s="143">
        <v>85000</v>
      </c>
      <c r="E45" s="143">
        <v>121428.57142857143</v>
      </c>
      <c r="F45" s="143">
        <v>85000</v>
      </c>
      <c r="G45" s="143">
        <f t="shared" si="3"/>
        <v>0</v>
      </c>
      <c r="H45" s="143">
        <v>121428.57142857143</v>
      </c>
      <c r="I45" s="143">
        <f t="shared" si="4"/>
        <v>0</v>
      </c>
      <c r="J45" s="143">
        <v>85000</v>
      </c>
      <c r="K45" s="143">
        <f t="shared" si="5"/>
        <v>0</v>
      </c>
      <c r="L45" s="143">
        <v>121428.57142857143</v>
      </c>
      <c r="M45" s="143">
        <f t="shared" si="6"/>
        <v>0</v>
      </c>
      <c r="N45" s="143">
        <v>85000</v>
      </c>
      <c r="O45" s="234">
        <f t="shared" si="0"/>
        <v>0</v>
      </c>
      <c r="P45" s="143">
        <v>121428.57142857143</v>
      </c>
      <c r="Q45" s="143">
        <f t="shared" si="7"/>
        <v>0</v>
      </c>
      <c r="R45" s="281">
        <v>85000</v>
      </c>
      <c r="S45" s="234">
        <f t="shared" si="1"/>
        <v>0</v>
      </c>
      <c r="T45" s="22">
        <v>121428.57142857143</v>
      </c>
      <c r="U45" s="143">
        <f t="shared" si="8"/>
        <v>0</v>
      </c>
      <c r="V45" s="281">
        <v>85000</v>
      </c>
      <c r="W45" s="234">
        <f t="shared" si="2"/>
        <v>0</v>
      </c>
      <c r="X45" s="22">
        <v>124285.71428571429</v>
      </c>
      <c r="Y45" s="143">
        <f t="shared" si="9"/>
        <v>2857.1428571428551</v>
      </c>
    </row>
    <row r="46" spans="1:25">
      <c r="A46" s="2"/>
      <c r="B46" s="71">
        <v>42</v>
      </c>
      <c r="C46" s="200" t="s">
        <v>620</v>
      </c>
      <c r="D46" s="143">
        <v>100000</v>
      </c>
      <c r="E46" s="143">
        <v>142857.14285714287</v>
      </c>
      <c r="F46" s="143">
        <v>100000</v>
      </c>
      <c r="G46" s="143">
        <f t="shared" si="3"/>
        <v>0</v>
      </c>
      <c r="H46" s="143">
        <v>144285.71428571429</v>
      </c>
      <c r="I46" s="143">
        <f t="shared" si="4"/>
        <v>1428.5714285714203</v>
      </c>
      <c r="J46" s="143">
        <v>100000</v>
      </c>
      <c r="K46" s="143">
        <f t="shared" si="5"/>
        <v>0</v>
      </c>
      <c r="L46" s="143">
        <v>144285.71428571429</v>
      </c>
      <c r="M46" s="143">
        <f t="shared" si="6"/>
        <v>0</v>
      </c>
      <c r="N46" s="143">
        <v>100000</v>
      </c>
      <c r="O46" s="234">
        <f t="shared" si="0"/>
        <v>0</v>
      </c>
      <c r="P46" s="143">
        <v>144285.71428571429</v>
      </c>
      <c r="Q46" s="143">
        <f t="shared" si="7"/>
        <v>0</v>
      </c>
      <c r="R46" s="281">
        <v>100000</v>
      </c>
      <c r="S46" s="234">
        <f t="shared" si="1"/>
        <v>0</v>
      </c>
      <c r="T46" s="22">
        <v>144285.71428571429</v>
      </c>
      <c r="U46" s="143">
        <f t="shared" si="8"/>
        <v>0</v>
      </c>
      <c r="V46" s="281">
        <v>100000</v>
      </c>
      <c r="W46" s="234">
        <f t="shared" si="2"/>
        <v>0</v>
      </c>
      <c r="X46" s="22">
        <v>144285.71428571429</v>
      </c>
      <c r="Y46" s="143">
        <f t="shared" si="9"/>
        <v>0</v>
      </c>
    </row>
    <row r="47" spans="1:25">
      <c r="A47" s="2"/>
      <c r="B47" s="71">
        <v>43</v>
      </c>
      <c r="C47" s="191" t="s">
        <v>97</v>
      </c>
      <c r="D47" s="143">
        <v>100000</v>
      </c>
      <c r="E47" s="143">
        <v>142857.14285714287</v>
      </c>
      <c r="F47" s="143">
        <v>100000</v>
      </c>
      <c r="G47" s="143">
        <f t="shared" si="3"/>
        <v>0</v>
      </c>
      <c r="H47" s="143">
        <v>142857.14285714287</v>
      </c>
      <c r="I47" s="143">
        <f t="shared" si="4"/>
        <v>0</v>
      </c>
      <c r="J47" s="143">
        <v>100000</v>
      </c>
      <c r="K47" s="143">
        <f t="shared" si="5"/>
        <v>0</v>
      </c>
      <c r="L47" s="143">
        <v>142857.14285714287</v>
      </c>
      <c r="M47" s="143">
        <f t="shared" si="6"/>
        <v>0</v>
      </c>
      <c r="N47" s="143">
        <v>100000</v>
      </c>
      <c r="O47" s="234">
        <f t="shared" si="0"/>
        <v>0</v>
      </c>
      <c r="P47" s="143">
        <v>142857.14285714287</v>
      </c>
      <c r="Q47" s="143">
        <f t="shared" si="7"/>
        <v>0</v>
      </c>
      <c r="R47" s="281">
        <v>100000</v>
      </c>
      <c r="S47" s="234">
        <f t="shared" si="1"/>
        <v>0</v>
      </c>
      <c r="T47" s="22">
        <v>142857.14285714287</v>
      </c>
      <c r="U47" s="143">
        <f t="shared" si="8"/>
        <v>0</v>
      </c>
      <c r="V47" s="281">
        <v>100000</v>
      </c>
      <c r="W47" s="234">
        <f t="shared" si="2"/>
        <v>0</v>
      </c>
      <c r="X47" s="22">
        <v>145714.28571428571</v>
      </c>
      <c r="Y47" s="143">
        <f t="shared" si="9"/>
        <v>2857.1428571428405</v>
      </c>
    </row>
    <row r="48" spans="1:25">
      <c r="A48" s="2"/>
      <c r="B48" s="2">
        <v>44</v>
      </c>
      <c r="C48" s="192" t="s">
        <v>99</v>
      </c>
      <c r="D48" s="143">
        <v>130000</v>
      </c>
      <c r="E48" s="143">
        <v>188571.42857142858</v>
      </c>
      <c r="F48" s="143">
        <v>130000</v>
      </c>
      <c r="G48" s="143">
        <f t="shared" si="3"/>
        <v>0</v>
      </c>
      <c r="H48" s="143">
        <v>188571.42857142858</v>
      </c>
      <c r="I48" s="143">
        <f t="shared" si="4"/>
        <v>0</v>
      </c>
      <c r="J48" s="143">
        <v>130000</v>
      </c>
      <c r="K48" s="143">
        <f t="shared" si="5"/>
        <v>0</v>
      </c>
      <c r="L48" s="143">
        <v>188571.42857142858</v>
      </c>
      <c r="M48" s="143">
        <f t="shared" si="6"/>
        <v>0</v>
      </c>
      <c r="N48" s="143">
        <v>130000</v>
      </c>
      <c r="O48" s="234">
        <f t="shared" si="0"/>
        <v>0</v>
      </c>
      <c r="P48" s="143">
        <v>188571.42857142858</v>
      </c>
      <c r="Q48" s="143">
        <f t="shared" si="7"/>
        <v>0</v>
      </c>
      <c r="R48" s="281">
        <v>130000</v>
      </c>
      <c r="S48" s="234">
        <f t="shared" si="1"/>
        <v>0</v>
      </c>
      <c r="T48" s="22">
        <v>188571.42857142858</v>
      </c>
      <c r="U48" s="143">
        <f t="shared" si="8"/>
        <v>0</v>
      </c>
      <c r="V48" s="281">
        <v>130000</v>
      </c>
      <c r="W48" s="234">
        <f t="shared" si="2"/>
        <v>0</v>
      </c>
      <c r="X48" s="22">
        <v>187142.85714285716</v>
      </c>
      <c r="Y48" s="143">
        <f t="shared" si="9"/>
        <v>-1428.5714285714203</v>
      </c>
    </row>
    <row r="49" spans="1:25">
      <c r="A49" s="2"/>
      <c r="B49" s="71">
        <v>45</v>
      </c>
      <c r="C49" s="192" t="s">
        <v>100</v>
      </c>
      <c r="D49" s="143">
        <v>132000</v>
      </c>
      <c r="E49" s="143">
        <v>191428.57142857145</v>
      </c>
      <c r="F49" s="143">
        <v>132000</v>
      </c>
      <c r="G49" s="143">
        <f t="shared" si="3"/>
        <v>0</v>
      </c>
      <c r="H49" s="143">
        <v>191428.57142857145</v>
      </c>
      <c r="I49" s="143">
        <f t="shared" si="4"/>
        <v>0</v>
      </c>
      <c r="J49" s="143">
        <v>132000</v>
      </c>
      <c r="K49" s="143">
        <f t="shared" si="5"/>
        <v>0</v>
      </c>
      <c r="L49" s="143">
        <v>191428.57142857145</v>
      </c>
      <c r="M49" s="143">
        <f t="shared" si="6"/>
        <v>0</v>
      </c>
      <c r="N49" s="143">
        <v>132000</v>
      </c>
      <c r="O49" s="234">
        <f t="shared" si="0"/>
        <v>0</v>
      </c>
      <c r="P49" s="143">
        <v>191428.57142857145</v>
      </c>
      <c r="Q49" s="143">
        <f t="shared" si="7"/>
        <v>0</v>
      </c>
      <c r="R49" s="281">
        <v>132000</v>
      </c>
      <c r="S49" s="234">
        <f t="shared" si="1"/>
        <v>0</v>
      </c>
      <c r="T49" s="22">
        <v>191428.57142857145</v>
      </c>
      <c r="U49" s="143">
        <f t="shared" si="8"/>
        <v>0</v>
      </c>
      <c r="V49" s="281">
        <v>132000</v>
      </c>
      <c r="W49" s="234">
        <f t="shared" si="2"/>
        <v>0</v>
      </c>
      <c r="X49" s="22">
        <v>190000</v>
      </c>
      <c r="Y49" s="143">
        <f t="shared" si="9"/>
        <v>-1428.5714285714494</v>
      </c>
    </row>
    <row r="50" spans="1:25">
      <c r="A50" s="2"/>
      <c r="B50" s="71">
        <v>46</v>
      </c>
      <c r="C50" s="192" t="s">
        <v>101</v>
      </c>
      <c r="D50" s="143">
        <v>115000</v>
      </c>
      <c r="E50" s="143">
        <v>167142.85714285716</v>
      </c>
      <c r="F50" s="143">
        <v>115000</v>
      </c>
      <c r="G50" s="143">
        <f t="shared" si="3"/>
        <v>0</v>
      </c>
      <c r="H50" s="143">
        <v>167142.85714285716</v>
      </c>
      <c r="I50" s="143">
        <f t="shared" si="4"/>
        <v>0</v>
      </c>
      <c r="J50" s="143">
        <v>115000</v>
      </c>
      <c r="K50" s="143">
        <f t="shared" si="5"/>
        <v>0</v>
      </c>
      <c r="L50" s="143">
        <v>167142.85714285716</v>
      </c>
      <c r="M50" s="143">
        <f t="shared" si="6"/>
        <v>0</v>
      </c>
      <c r="N50" s="143">
        <v>115000</v>
      </c>
      <c r="O50" s="234">
        <f t="shared" si="0"/>
        <v>0</v>
      </c>
      <c r="P50" s="143">
        <v>167142.85714285716</v>
      </c>
      <c r="Q50" s="143">
        <f t="shared" si="7"/>
        <v>0</v>
      </c>
      <c r="R50" s="281">
        <v>115000</v>
      </c>
      <c r="S50" s="234">
        <f t="shared" si="1"/>
        <v>0</v>
      </c>
      <c r="T50" s="22">
        <v>167142.85714285716</v>
      </c>
      <c r="U50" s="143">
        <f t="shared" si="8"/>
        <v>0</v>
      </c>
      <c r="V50" s="281">
        <v>115000</v>
      </c>
      <c r="W50" s="234">
        <f t="shared" si="2"/>
        <v>0</v>
      </c>
      <c r="X50" s="22">
        <v>165714.28571428574</v>
      </c>
      <c r="Y50" s="143">
        <f t="shared" si="9"/>
        <v>-1428.5714285714203</v>
      </c>
    </row>
    <row r="51" spans="1:25">
      <c r="A51" s="2"/>
      <c r="B51" s="2">
        <v>47</v>
      </c>
      <c r="C51" s="201" t="s">
        <v>621</v>
      </c>
      <c r="D51" s="143">
        <v>131000</v>
      </c>
      <c r="E51" s="143">
        <v>190000</v>
      </c>
      <c r="F51" s="143">
        <v>131000</v>
      </c>
      <c r="G51" s="143">
        <f t="shared" si="3"/>
        <v>0</v>
      </c>
      <c r="H51" s="143">
        <v>190000</v>
      </c>
      <c r="I51" s="143">
        <f t="shared" si="4"/>
        <v>0</v>
      </c>
      <c r="J51" s="143">
        <v>131000</v>
      </c>
      <c r="K51" s="143">
        <f t="shared" si="5"/>
        <v>0</v>
      </c>
      <c r="L51" s="143">
        <v>190000</v>
      </c>
      <c r="M51" s="143">
        <f t="shared" si="6"/>
        <v>0</v>
      </c>
      <c r="N51" s="143">
        <v>131000</v>
      </c>
      <c r="O51" s="234">
        <f t="shared" si="0"/>
        <v>0</v>
      </c>
      <c r="P51" s="143">
        <v>188571.42857142858</v>
      </c>
      <c r="Q51" s="143">
        <f t="shared" si="7"/>
        <v>-1428.5714285714203</v>
      </c>
      <c r="R51" s="281">
        <v>131000</v>
      </c>
      <c r="S51" s="234">
        <f t="shared" si="1"/>
        <v>0</v>
      </c>
      <c r="T51" s="22">
        <v>188571.42857142858</v>
      </c>
      <c r="U51" s="143">
        <f t="shared" si="8"/>
        <v>0</v>
      </c>
      <c r="V51" s="281">
        <v>131000</v>
      </c>
      <c r="W51" s="234">
        <f t="shared" si="2"/>
        <v>0</v>
      </c>
      <c r="X51" s="22">
        <v>188571.42857142858</v>
      </c>
      <c r="Y51" s="143">
        <f t="shared" si="9"/>
        <v>0</v>
      </c>
    </row>
    <row r="52" spans="1:25">
      <c r="A52" s="2"/>
      <c r="B52" s="71">
        <v>48</v>
      </c>
      <c r="C52" s="192" t="s">
        <v>102</v>
      </c>
      <c r="D52" s="143">
        <v>130000</v>
      </c>
      <c r="E52" s="143">
        <v>188571.42857142858</v>
      </c>
      <c r="F52" s="143">
        <v>130000</v>
      </c>
      <c r="G52" s="143">
        <f t="shared" si="3"/>
        <v>0</v>
      </c>
      <c r="H52" s="143">
        <v>188571.42857142858</v>
      </c>
      <c r="I52" s="143">
        <f t="shared" si="4"/>
        <v>0</v>
      </c>
      <c r="J52" s="143">
        <v>130000</v>
      </c>
      <c r="K52" s="143">
        <f t="shared" si="5"/>
        <v>0</v>
      </c>
      <c r="L52" s="143">
        <v>188571.42857142858</v>
      </c>
      <c r="M52" s="143">
        <f t="shared" si="6"/>
        <v>0</v>
      </c>
      <c r="N52" s="143">
        <v>130000</v>
      </c>
      <c r="O52" s="234">
        <f t="shared" si="0"/>
        <v>0</v>
      </c>
      <c r="P52" s="143">
        <v>188571.42857142858</v>
      </c>
      <c r="Q52" s="143">
        <f t="shared" si="7"/>
        <v>0</v>
      </c>
      <c r="R52" s="281">
        <v>130000</v>
      </c>
      <c r="S52" s="234">
        <f t="shared" si="1"/>
        <v>0</v>
      </c>
      <c r="T52" s="22">
        <v>188571.42857142858</v>
      </c>
      <c r="U52" s="143">
        <f t="shared" si="8"/>
        <v>0</v>
      </c>
      <c r="V52" s="281">
        <v>130000</v>
      </c>
      <c r="W52" s="234">
        <f t="shared" si="2"/>
        <v>0</v>
      </c>
      <c r="X52" s="22">
        <v>187142.85714285716</v>
      </c>
      <c r="Y52" s="143">
        <f t="shared" si="9"/>
        <v>-1428.5714285714203</v>
      </c>
    </row>
    <row r="53" spans="1:25">
      <c r="A53" s="71" t="s">
        <v>847</v>
      </c>
      <c r="B53" s="71">
        <v>49</v>
      </c>
      <c r="C53" s="235" t="s">
        <v>837</v>
      </c>
      <c r="D53" s="143">
        <v>115000</v>
      </c>
      <c r="E53" s="143">
        <v>168571.42857142858</v>
      </c>
      <c r="F53" s="143">
        <v>85650</v>
      </c>
      <c r="G53" s="143">
        <f t="shared" si="3"/>
        <v>-29350</v>
      </c>
      <c r="H53" s="143">
        <v>126642.85714285714</v>
      </c>
      <c r="I53" s="143">
        <f t="shared" si="4"/>
        <v>-41928.571428571435</v>
      </c>
      <c r="J53" s="143">
        <v>85650</v>
      </c>
      <c r="K53" s="143">
        <f t="shared" si="5"/>
        <v>0</v>
      </c>
      <c r="L53" s="143">
        <v>126642.85714285714</v>
      </c>
      <c r="M53" s="143">
        <f t="shared" si="6"/>
        <v>0</v>
      </c>
      <c r="N53" s="143">
        <v>85650</v>
      </c>
      <c r="O53" s="234">
        <f t="shared" si="0"/>
        <v>0</v>
      </c>
      <c r="P53" s="143">
        <v>126642.85714285714</v>
      </c>
      <c r="Q53" s="143">
        <f t="shared" si="7"/>
        <v>0</v>
      </c>
      <c r="R53" s="281">
        <v>85650</v>
      </c>
      <c r="S53" s="234">
        <f t="shared" si="1"/>
        <v>0</v>
      </c>
      <c r="T53" s="22">
        <v>126642.85714285714</v>
      </c>
      <c r="U53" s="143">
        <f t="shared" si="8"/>
        <v>0</v>
      </c>
      <c r="V53" s="281">
        <v>85650</v>
      </c>
      <c r="W53" s="234">
        <f t="shared" si="2"/>
        <v>0</v>
      </c>
      <c r="X53" s="22">
        <v>123785.71428571429</v>
      </c>
      <c r="Y53" s="143">
        <f t="shared" si="9"/>
        <v>-2857.1428571428551</v>
      </c>
    </row>
    <row r="54" spans="1:25">
      <c r="A54" s="71" t="s">
        <v>848</v>
      </c>
      <c r="B54" s="2">
        <v>50</v>
      </c>
      <c r="C54" s="235" t="s">
        <v>622</v>
      </c>
      <c r="E54" s="143">
        <v>2857.1428571428573</v>
      </c>
      <c r="F54">
        <v>125000</v>
      </c>
      <c r="G54" s="234">
        <f t="shared" si="3"/>
        <v>125000</v>
      </c>
      <c r="H54">
        <v>181428.57142857145</v>
      </c>
      <c r="I54" s="261">
        <f t="shared" si="4"/>
        <v>178571.42857142858</v>
      </c>
      <c r="J54">
        <v>125000</v>
      </c>
      <c r="K54" s="234">
        <f t="shared" si="5"/>
        <v>0</v>
      </c>
      <c r="L54" s="143">
        <v>181428.57142857145</v>
      </c>
      <c r="M54" s="261">
        <f t="shared" si="6"/>
        <v>0</v>
      </c>
      <c r="N54" s="234">
        <v>125000</v>
      </c>
      <c r="O54" s="234">
        <f t="shared" si="0"/>
        <v>0</v>
      </c>
      <c r="P54" s="143">
        <v>181428.57142857145</v>
      </c>
      <c r="Q54" s="261">
        <f t="shared" si="7"/>
        <v>0</v>
      </c>
      <c r="R54" s="281">
        <v>125000</v>
      </c>
      <c r="S54" s="234">
        <f t="shared" si="1"/>
        <v>0</v>
      </c>
      <c r="T54" s="22">
        <v>181428.57142857145</v>
      </c>
      <c r="U54" s="261">
        <f t="shared" si="8"/>
        <v>0</v>
      </c>
      <c r="V54" s="281">
        <v>125000</v>
      </c>
      <c r="W54" s="234">
        <f t="shared" si="2"/>
        <v>0</v>
      </c>
      <c r="X54" s="22">
        <v>180000</v>
      </c>
      <c r="Y54" s="261">
        <f t="shared" si="9"/>
        <v>-1428.5714285714494</v>
      </c>
    </row>
    <row r="55" spans="1:25">
      <c r="A55" s="2"/>
      <c r="B55" s="71">
        <v>51</v>
      </c>
      <c r="C55" s="202" t="s">
        <v>623</v>
      </c>
      <c r="D55" s="234">
        <v>125500</v>
      </c>
      <c r="E55" s="143">
        <v>183571.42857142858</v>
      </c>
      <c r="F55">
        <v>125500</v>
      </c>
      <c r="G55" s="234">
        <f t="shared" si="3"/>
        <v>0</v>
      </c>
      <c r="H55">
        <v>183571.42857142858</v>
      </c>
      <c r="I55" s="261">
        <f t="shared" si="4"/>
        <v>0</v>
      </c>
      <c r="J55">
        <v>125500</v>
      </c>
      <c r="K55" s="234">
        <f t="shared" si="5"/>
        <v>0</v>
      </c>
      <c r="L55" s="143">
        <v>183571.42857142858</v>
      </c>
      <c r="M55" s="261">
        <f t="shared" si="6"/>
        <v>0</v>
      </c>
      <c r="N55" s="234">
        <v>125500</v>
      </c>
      <c r="O55" s="234">
        <f t="shared" si="0"/>
        <v>0</v>
      </c>
      <c r="P55" s="143">
        <v>183571.42857142858</v>
      </c>
      <c r="Q55" s="261">
        <f t="shared" si="7"/>
        <v>0</v>
      </c>
      <c r="R55" s="281">
        <v>125500</v>
      </c>
      <c r="S55" s="234">
        <f t="shared" si="1"/>
        <v>0</v>
      </c>
      <c r="T55" s="22">
        <v>183571.42857142858</v>
      </c>
      <c r="U55" s="261">
        <f t="shared" si="8"/>
        <v>0</v>
      </c>
      <c r="V55" s="281">
        <v>125500</v>
      </c>
      <c r="W55" s="234">
        <f t="shared" si="2"/>
        <v>0</v>
      </c>
      <c r="X55" s="22">
        <v>183571.42857142858</v>
      </c>
      <c r="Y55" s="261">
        <f t="shared" si="9"/>
        <v>0</v>
      </c>
    </row>
    <row r="56" spans="1:25">
      <c r="A56" s="2"/>
      <c r="B56" s="71">
        <v>52</v>
      </c>
      <c r="C56" s="194" t="s">
        <v>105</v>
      </c>
      <c r="D56" s="234">
        <v>101000</v>
      </c>
      <c r="E56" s="143">
        <v>147142.85714285716</v>
      </c>
      <c r="F56">
        <v>101000</v>
      </c>
      <c r="G56" s="234">
        <f t="shared" si="3"/>
        <v>0</v>
      </c>
      <c r="H56">
        <v>147142.85714285716</v>
      </c>
      <c r="I56" s="261">
        <f t="shared" si="4"/>
        <v>0</v>
      </c>
      <c r="J56">
        <v>101000</v>
      </c>
      <c r="K56" s="234">
        <f t="shared" si="5"/>
        <v>0</v>
      </c>
      <c r="L56" s="143">
        <v>147142.85714285716</v>
      </c>
      <c r="M56" s="261">
        <f t="shared" si="6"/>
        <v>0</v>
      </c>
      <c r="N56" s="234">
        <v>101000</v>
      </c>
      <c r="O56" s="234">
        <f t="shared" si="0"/>
        <v>0</v>
      </c>
      <c r="P56" s="143">
        <v>147142.85714285716</v>
      </c>
      <c r="Q56" s="261">
        <f t="shared" si="7"/>
        <v>0</v>
      </c>
      <c r="R56" s="281">
        <v>101000</v>
      </c>
      <c r="S56" s="234">
        <f t="shared" si="1"/>
        <v>0</v>
      </c>
      <c r="T56" s="22">
        <v>147142.85714285716</v>
      </c>
      <c r="U56" s="261">
        <f t="shared" si="8"/>
        <v>0</v>
      </c>
      <c r="V56" s="281">
        <v>101000</v>
      </c>
      <c r="W56" s="234">
        <f t="shared" si="2"/>
        <v>0</v>
      </c>
      <c r="X56" s="22">
        <v>145714.28571428571</v>
      </c>
      <c r="Y56" s="261">
        <f t="shared" si="9"/>
        <v>-1428.5714285714494</v>
      </c>
    </row>
    <row r="57" spans="1:25">
      <c r="A57" s="2"/>
      <c r="B57" s="2">
        <v>53</v>
      </c>
      <c r="C57" s="194" t="s">
        <v>106</v>
      </c>
      <c r="D57" s="234">
        <v>140000</v>
      </c>
      <c r="E57" s="143">
        <v>202857.14285714287</v>
      </c>
      <c r="F57">
        <v>140000</v>
      </c>
      <c r="G57" s="234">
        <f t="shared" si="3"/>
        <v>0</v>
      </c>
      <c r="H57">
        <v>202857.14285714287</v>
      </c>
      <c r="I57" s="261">
        <f t="shared" si="4"/>
        <v>0</v>
      </c>
      <c r="J57">
        <v>140000</v>
      </c>
      <c r="K57" s="234">
        <f t="shared" si="5"/>
        <v>0</v>
      </c>
      <c r="L57" s="143">
        <v>202857.14285714287</v>
      </c>
      <c r="M57" s="261">
        <f t="shared" si="6"/>
        <v>0</v>
      </c>
      <c r="N57" s="234">
        <v>140000</v>
      </c>
      <c r="O57" s="234">
        <f t="shared" si="0"/>
        <v>0</v>
      </c>
      <c r="P57" s="143">
        <v>202857.14285714287</v>
      </c>
      <c r="Q57" s="261">
        <f t="shared" si="7"/>
        <v>0</v>
      </c>
      <c r="R57" s="281">
        <v>140000</v>
      </c>
      <c r="S57" s="234">
        <f t="shared" si="1"/>
        <v>0</v>
      </c>
      <c r="T57" s="22">
        <v>202857.14285714287</v>
      </c>
      <c r="U57" s="261">
        <f t="shared" si="8"/>
        <v>0</v>
      </c>
      <c r="V57" s="281">
        <v>140000</v>
      </c>
      <c r="W57" s="234">
        <f t="shared" si="2"/>
        <v>0</v>
      </c>
      <c r="X57" s="22">
        <v>201428.57142857145</v>
      </c>
      <c r="Y57" s="261">
        <f t="shared" si="9"/>
        <v>-1428.5714285714203</v>
      </c>
    </row>
    <row r="58" spans="1:25">
      <c r="A58" s="2"/>
      <c r="B58" s="71">
        <v>54</v>
      </c>
      <c r="C58" s="202" t="s">
        <v>624</v>
      </c>
      <c r="D58" s="234">
        <v>110000</v>
      </c>
      <c r="E58" s="143">
        <v>160000</v>
      </c>
      <c r="F58">
        <v>110000</v>
      </c>
      <c r="G58" s="234">
        <f t="shared" si="3"/>
        <v>0</v>
      </c>
      <c r="H58">
        <v>160000</v>
      </c>
      <c r="I58" s="261">
        <f t="shared" si="4"/>
        <v>0</v>
      </c>
      <c r="J58">
        <v>110000</v>
      </c>
      <c r="K58" s="234">
        <f t="shared" si="5"/>
        <v>0</v>
      </c>
      <c r="L58" s="143">
        <v>160000</v>
      </c>
      <c r="M58" s="261">
        <f t="shared" si="6"/>
        <v>0</v>
      </c>
      <c r="N58" s="234">
        <v>110000</v>
      </c>
      <c r="O58" s="234">
        <f t="shared" si="0"/>
        <v>0</v>
      </c>
      <c r="P58" s="143">
        <v>160000</v>
      </c>
      <c r="Q58" s="261">
        <f t="shared" si="7"/>
        <v>0</v>
      </c>
      <c r="R58" s="281">
        <v>110000</v>
      </c>
      <c r="S58" s="234">
        <f t="shared" si="1"/>
        <v>0</v>
      </c>
      <c r="T58" s="22">
        <v>160000</v>
      </c>
      <c r="U58" s="261">
        <f t="shared" si="8"/>
        <v>0</v>
      </c>
      <c r="V58" s="281">
        <v>110000</v>
      </c>
      <c r="W58" s="234">
        <f t="shared" si="2"/>
        <v>0</v>
      </c>
      <c r="X58" s="22">
        <v>160000</v>
      </c>
      <c r="Y58" s="261">
        <f t="shared" si="9"/>
        <v>0</v>
      </c>
    </row>
    <row r="59" spans="1:25">
      <c r="A59" s="71" t="s">
        <v>847</v>
      </c>
      <c r="B59" s="71">
        <v>55</v>
      </c>
      <c r="C59" s="237" t="s">
        <v>838</v>
      </c>
      <c r="D59" s="234">
        <v>105000</v>
      </c>
      <c r="E59" s="143">
        <v>152857.14285714287</v>
      </c>
      <c r="F59">
        <v>0</v>
      </c>
      <c r="G59" s="234">
        <f t="shared" si="3"/>
        <v>-105000</v>
      </c>
      <c r="H59">
        <v>2857.1428571428573</v>
      </c>
      <c r="I59" s="261">
        <f t="shared" si="4"/>
        <v>-150000</v>
      </c>
      <c r="J59">
        <v>0</v>
      </c>
      <c r="K59" s="234">
        <f t="shared" si="5"/>
        <v>0</v>
      </c>
      <c r="L59" s="143">
        <v>2857.1428571428573</v>
      </c>
      <c r="M59" s="261">
        <f t="shared" si="6"/>
        <v>0</v>
      </c>
      <c r="N59" s="234">
        <v>150000</v>
      </c>
      <c r="O59" s="234">
        <f t="shared" si="0"/>
        <v>150000</v>
      </c>
      <c r="P59" s="143">
        <v>214285.71428571429</v>
      </c>
      <c r="Q59" s="261">
        <f t="shared" si="7"/>
        <v>211428.57142857142</v>
      </c>
      <c r="R59" s="281">
        <v>150000</v>
      </c>
      <c r="S59" s="234">
        <f t="shared" si="1"/>
        <v>0</v>
      </c>
      <c r="T59" s="22">
        <v>214285.71428571429</v>
      </c>
      <c r="U59" s="261">
        <f t="shared" si="8"/>
        <v>0</v>
      </c>
      <c r="V59" s="281">
        <v>110000</v>
      </c>
      <c r="W59" s="234">
        <f t="shared" si="2"/>
        <v>-40000</v>
      </c>
      <c r="X59" s="22">
        <v>157142.85714285716</v>
      </c>
      <c r="Y59" s="261">
        <f t="shared" si="9"/>
        <v>-57142.85714285713</v>
      </c>
    </row>
    <row r="60" spans="1:25">
      <c r="A60" s="2"/>
      <c r="B60" s="2">
        <v>56</v>
      </c>
      <c r="C60" s="202" t="s">
        <v>625</v>
      </c>
      <c r="D60" s="234">
        <v>85000</v>
      </c>
      <c r="E60" s="143">
        <v>125714.28571428572</v>
      </c>
      <c r="F60">
        <v>85000</v>
      </c>
      <c r="G60" s="234">
        <f t="shared" si="3"/>
        <v>0</v>
      </c>
      <c r="H60">
        <v>125714.28571428572</v>
      </c>
      <c r="I60" s="261">
        <f t="shared" si="4"/>
        <v>0</v>
      </c>
      <c r="J60">
        <v>85000</v>
      </c>
      <c r="K60" s="234">
        <f t="shared" si="5"/>
        <v>0</v>
      </c>
      <c r="L60" s="143">
        <v>125714.28571428572</v>
      </c>
      <c r="M60" s="261">
        <f t="shared" si="6"/>
        <v>0</v>
      </c>
      <c r="N60" s="234">
        <v>85000</v>
      </c>
      <c r="O60" s="234">
        <f t="shared" si="0"/>
        <v>0</v>
      </c>
      <c r="P60" s="143">
        <v>125714.28571428572</v>
      </c>
      <c r="Q60" s="261">
        <f t="shared" si="7"/>
        <v>0</v>
      </c>
      <c r="R60" s="281">
        <v>85000</v>
      </c>
      <c r="S60" s="234">
        <f t="shared" si="1"/>
        <v>0</v>
      </c>
      <c r="T60" s="22">
        <v>125714.28571428572</v>
      </c>
      <c r="U60" s="261">
        <f t="shared" si="8"/>
        <v>0</v>
      </c>
      <c r="V60" s="281">
        <v>85000</v>
      </c>
      <c r="W60" s="234">
        <f t="shared" si="2"/>
        <v>0</v>
      </c>
      <c r="X60" s="22">
        <v>125714.28571428572</v>
      </c>
      <c r="Y60" s="261">
        <f t="shared" si="9"/>
        <v>0</v>
      </c>
    </row>
    <row r="61" spans="1:25">
      <c r="A61" s="2"/>
      <c r="B61" s="71">
        <v>57</v>
      </c>
      <c r="C61" s="202" t="s">
        <v>626</v>
      </c>
      <c r="D61" s="234">
        <v>110000</v>
      </c>
      <c r="E61" s="143">
        <v>160000</v>
      </c>
      <c r="F61">
        <v>110000</v>
      </c>
      <c r="G61" s="234">
        <f t="shared" si="3"/>
        <v>0</v>
      </c>
      <c r="H61">
        <v>160000</v>
      </c>
      <c r="I61" s="261">
        <f t="shared" si="4"/>
        <v>0</v>
      </c>
      <c r="J61">
        <v>110000</v>
      </c>
      <c r="K61" s="234">
        <f t="shared" si="5"/>
        <v>0</v>
      </c>
      <c r="L61" s="143">
        <v>160000</v>
      </c>
      <c r="M61" s="261">
        <f t="shared" si="6"/>
        <v>0</v>
      </c>
      <c r="N61" s="234">
        <v>110000</v>
      </c>
      <c r="O61" s="234">
        <f t="shared" si="0"/>
        <v>0</v>
      </c>
      <c r="P61" s="143">
        <v>160000</v>
      </c>
      <c r="Q61" s="261">
        <f t="shared" si="7"/>
        <v>0</v>
      </c>
      <c r="R61" s="281">
        <v>110000</v>
      </c>
      <c r="S61" s="234">
        <f t="shared" si="1"/>
        <v>0</v>
      </c>
      <c r="T61" s="22">
        <v>160000</v>
      </c>
      <c r="U61" s="261">
        <f t="shared" si="8"/>
        <v>0</v>
      </c>
      <c r="V61" s="281">
        <v>110000</v>
      </c>
      <c r="W61" s="234">
        <f t="shared" si="2"/>
        <v>0</v>
      </c>
      <c r="X61" s="22">
        <v>160000</v>
      </c>
      <c r="Y61" s="261">
        <f t="shared" si="9"/>
        <v>0</v>
      </c>
    </row>
    <row r="62" spans="1:25">
      <c r="A62" s="2"/>
      <c r="B62" s="71">
        <v>58</v>
      </c>
      <c r="C62" s="194" t="s">
        <v>107</v>
      </c>
      <c r="D62" s="234">
        <v>128000</v>
      </c>
      <c r="E62" s="143">
        <v>185714.28571428574</v>
      </c>
      <c r="F62">
        <v>128000</v>
      </c>
      <c r="G62" s="234">
        <f t="shared" si="3"/>
        <v>0</v>
      </c>
      <c r="H62">
        <v>185714.28571428574</v>
      </c>
      <c r="I62" s="261">
        <f t="shared" si="4"/>
        <v>0</v>
      </c>
      <c r="J62">
        <v>128000</v>
      </c>
      <c r="K62" s="234">
        <f t="shared" si="5"/>
        <v>0</v>
      </c>
      <c r="L62" s="143">
        <v>185714.28571428574</v>
      </c>
      <c r="M62" s="261">
        <f t="shared" si="6"/>
        <v>0</v>
      </c>
      <c r="N62" s="234">
        <v>128000</v>
      </c>
      <c r="O62" s="234">
        <f t="shared" si="0"/>
        <v>0</v>
      </c>
      <c r="P62" s="143">
        <v>185714.28571428574</v>
      </c>
      <c r="Q62" s="261">
        <f t="shared" si="7"/>
        <v>0</v>
      </c>
      <c r="R62" s="281">
        <v>128000</v>
      </c>
      <c r="S62" s="234">
        <f t="shared" si="1"/>
        <v>0</v>
      </c>
      <c r="T62" s="22">
        <v>185714.28571428574</v>
      </c>
      <c r="U62" s="261">
        <f t="shared" si="8"/>
        <v>0</v>
      </c>
      <c r="V62" s="281">
        <v>128000</v>
      </c>
      <c r="W62" s="234">
        <f t="shared" si="2"/>
        <v>0</v>
      </c>
      <c r="X62" s="22">
        <v>184285.71428571429</v>
      </c>
      <c r="Y62" s="261">
        <f t="shared" si="9"/>
        <v>-1428.5714285714494</v>
      </c>
    </row>
    <row r="63" spans="1:25">
      <c r="A63" s="2"/>
      <c r="B63" s="2">
        <v>59</v>
      </c>
      <c r="C63" s="202" t="s">
        <v>627</v>
      </c>
      <c r="D63" s="234">
        <v>130000</v>
      </c>
      <c r="E63" s="143">
        <v>188571.42857142858</v>
      </c>
      <c r="F63">
        <v>130000</v>
      </c>
      <c r="G63" s="234">
        <f t="shared" si="3"/>
        <v>0</v>
      </c>
      <c r="H63">
        <v>188571.42857142858</v>
      </c>
      <c r="I63" s="261">
        <f t="shared" si="4"/>
        <v>0</v>
      </c>
      <c r="J63">
        <v>130000</v>
      </c>
      <c r="K63" s="234">
        <f t="shared" si="5"/>
        <v>0</v>
      </c>
      <c r="L63" s="143">
        <v>188571.42857142858</v>
      </c>
      <c r="M63" s="261">
        <f t="shared" si="6"/>
        <v>0</v>
      </c>
      <c r="N63" s="234">
        <v>130000</v>
      </c>
      <c r="O63" s="234">
        <f t="shared" si="0"/>
        <v>0</v>
      </c>
      <c r="P63" s="143">
        <v>188571.42857142858</v>
      </c>
      <c r="Q63" s="261">
        <f t="shared" si="7"/>
        <v>0</v>
      </c>
      <c r="R63" s="281">
        <v>130000</v>
      </c>
      <c r="S63" s="234">
        <f t="shared" si="1"/>
        <v>0</v>
      </c>
      <c r="T63" s="22">
        <v>188571.42857142858</v>
      </c>
      <c r="U63" s="261">
        <f t="shared" si="8"/>
        <v>0</v>
      </c>
      <c r="V63" s="281">
        <v>130000</v>
      </c>
      <c r="W63" s="234">
        <f t="shared" si="2"/>
        <v>0</v>
      </c>
      <c r="X63" s="22">
        <v>188571.42857142858</v>
      </c>
      <c r="Y63" s="261">
        <f t="shared" si="9"/>
        <v>0</v>
      </c>
    </row>
    <row r="64" spans="1:25">
      <c r="A64" s="2"/>
      <c r="B64" s="71">
        <v>60</v>
      </c>
      <c r="C64" s="194" t="s">
        <v>108</v>
      </c>
      <c r="D64" s="234">
        <v>128000</v>
      </c>
      <c r="E64" s="143">
        <v>185714.28571428574</v>
      </c>
      <c r="F64">
        <v>128000</v>
      </c>
      <c r="G64" s="234">
        <f t="shared" si="3"/>
        <v>0</v>
      </c>
      <c r="H64">
        <v>185714.28571428574</v>
      </c>
      <c r="I64" s="261">
        <f t="shared" si="4"/>
        <v>0</v>
      </c>
      <c r="J64">
        <v>128000</v>
      </c>
      <c r="K64" s="234">
        <f t="shared" si="5"/>
        <v>0</v>
      </c>
      <c r="L64" s="143">
        <v>185714.28571428574</v>
      </c>
      <c r="M64" s="261">
        <f t="shared" si="6"/>
        <v>0</v>
      </c>
      <c r="N64" s="234">
        <v>128000</v>
      </c>
      <c r="O64" s="234">
        <f t="shared" si="0"/>
        <v>0</v>
      </c>
      <c r="P64" s="143">
        <v>185714.28571428574</v>
      </c>
      <c r="Q64" s="261">
        <f t="shared" si="7"/>
        <v>0</v>
      </c>
      <c r="R64" s="281">
        <v>128000</v>
      </c>
      <c r="S64" s="234">
        <f t="shared" si="1"/>
        <v>0</v>
      </c>
      <c r="T64" s="22">
        <v>185714.28571428574</v>
      </c>
      <c r="U64" s="261">
        <f t="shared" si="8"/>
        <v>0</v>
      </c>
      <c r="V64" s="281">
        <v>128000</v>
      </c>
      <c r="W64" s="234">
        <f t="shared" si="2"/>
        <v>0</v>
      </c>
      <c r="X64" s="22">
        <v>184285.71428571429</v>
      </c>
      <c r="Y64" s="261">
        <f t="shared" si="9"/>
        <v>-1428.5714285714494</v>
      </c>
    </row>
    <row r="65" spans="1:25">
      <c r="A65" s="71" t="s">
        <v>848</v>
      </c>
      <c r="B65" s="71">
        <v>61</v>
      </c>
      <c r="C65" s="237" t="s">
        <v>628</v>
      </c>
      <c r="D65" s="234">
        <v>128000</v>
      </c>
      <c r="E65" s="143">
        <v>187142.85714285716</v>
      </c>
      <c r="F65">
        <v>105000</v>
      </c>
      <c r="G65" s="234">
        <f t="shared" si="3"/>
        <v>-23000</v>
      </c>
      <c r="H65">
        <v>154285.71428571429</v>
      </c>
      <c r="I65" s="261">
        <f t="shared" si="4"/>
        <v>-32857.14285714287</v>
      </c>
      <c r="J65">
        <v>105000</v>
      </c>
      <c r="K65" s="234">
        <f t="shared" si="5"/>
        <v>0</v>
      </c>
      <c r="L65" s="143">
        <v>154285.71428571429</v>
      </c>
      <c r="M65" s="261">
        <f t="shared" si="6"/>
        <v>0</v>
      </c>
      <c r="N65" s="234">
        <v>105000</v>
      </c>
      <c r="O65" s="234">
        <f t="shared" si="0"/>
        <v>0</v>
      </c>
      <c r="P65" s="143">
        <v>154285.71428571429</v>
      </c>
      <c r="Q65" s="261">
        <f t="shared" si="7"/>
        <v>0</v>
      </c>
      <c r="R65" s="281">
        <v>105000</v>
      </c>
      <c r="S65" s="234">
        <f t="shared" si="1"/>
        <v>0</v>
      </c>
      <c r="T65" s="22">
        <v>154285.71428571429</v>
      </c>
      <c r="U65" s="261">
        <f t="shared" si="8"/>
        <v>0</v>
      </c>
      <c r="V65" s="281">
        <v>105000</v>
      </c>
      <c r="W65" s="234">
        <f t="shared" si="2"/>
        <v>0</v>
      </c>
      <c r="X65" s="22">
        <v>151428.57142857145</v>
      </c>
      <c r="Y65" s="261">
        <f t="shared" si="9"/>
        <v>-2857.1428571428405</v>
      </c>
    </row>
    <row r="66" spans="1:25">
      <c r="A66" s="2"/>
      <c r="B66" s="2">
        <v>62</v>
      </c>
      <c r="C66" s="202" t="s">
        <v>629</v>
      </c>
      <c r="D66" s="234">
        <v>130000</v>
      </c>
      <c r="E66" s="143">
        <v>188571.42857142858</v>
      </c>
      <c r="F66">
        <v>130000</v>
      </c>
      <c r="G66" s="234">
        <f t="shared" si="3"/>
        <v>0</v>
      </c>
      <c r="H66">
        <v>188571.42857142858</v>
      </c>
      <c r="I66" s="261">
        <f t="shared" si="4"/>
        <v>0</v>
      </c>
      <c r="J66">
        <v>130000</v>
      </c>
      <c r="K66" s="234">
        <f t="shared" si="5"/>
        <v>0</v>
      </c>
      <c r="L66" s="143">
        <v>188571.42857142858</v>
      </c>
      <c r="M66" s="261">
        <f t="shared" si="6"/>
        <v>0</v>
      </c>
      <c r="N66" s="234">
        <v>130000</v>
      </c>
      <c r="O66" s="234">
        <f t="shared" si="0"/>
        <v>0</v>
      </c>
      <c r="P66" s="143">
        <v>188571.42857142858</v>
      </c>
      <c r="Q66" s="261">
        <f t="shared" si="7"/>
        <v>0</v>
      </c>
      <c r="R66" s="281">
        <v>130000</v>
      </c>
      <c r="S66" s="234">
        <f t="shared" si="1"/>
        <v>0</v>
      </c>
      <c r="T66" s="22">
        <v>188571.42857142858</v>
      </c>
      <c r="U66" s="261">
        <f t="shared" si="8"/>
        <v>0</v>
      </c>
      <c r="V66" s="281">
        <v>130000</v>
      </c>
      <c r="W66" s="234">
        <f t="shared" si="2"/>
        <v>0</v>
      </c>
      <c r="X66" s="22">
        <v>188571.42857142858</v>
      </c>
      <c r="Y66" s="261">
        <f t="shared" si="9"/>
        <v>0</v>
      </c>
    </row>
    <row r="67" spans="1:25">
      <c r="A67" s="2"/>
      <c r="B67" s="71">
        <v>63</v>
      </c>
      <c r="C67" s="194" t="s">
        <v>109</v>
      </c>
      <c r="D67" s="234">
        <v>150000</v>
      </c>
      <c r="E67" s="143">
        <v>218571.42857142858</v>
      </c>
      <c r="F67">
        <v>150000</v>
      </c>
      <c r="G67" s="234">
        <f t="shared" si="3"/>
        <v>0</v>
      </c>
      <c r="H67">
        <v>218571.42857142858</v>
      </c>
      <c r="I67" s="261">
        <f t="shared" si="4"/>
        <v>0</v>
      </c>
      <c r="J67">
        <v>150000</v>
      </c>
      <c r="K67" s="234">
        <f t="shared" si="5"/>
        <v>0</v>
      </c>
      <c r="L67" s="143">
        <v>218571.42857142858</v>
      </c>
      <c r="M67" s="261">
        <f t="shared" si="6"/>
        <v>0</v>
      </c>
      <c r="N67" s="234">
        <v>150000</v>
      </c>
      <c r="O67" s="234">
        <f t="shared" si="0"/>
        <v>0</v>
      </c>
      <c r="P67" s="143">
        <v>218571.42857142858</v>
      </c>
      <c r="Q67" s="261">
        <f t="shared" si="7"/>
        <v>0</v>
      </c>
      <c r="R67" s="281">
        <v>150000</v>
      </c>
      <c r="S67" s="234">
        <f t="shared" si="1"/>
        <v>0</v>
      </c>
      <c r="T67" s="22">
        <v>218571.42857142858</v>
      </c>
      <c r="U67" s="261">
        <f t="shared" si="8"/>
        <v>0</v>
      </c>
      <c r="V67" s="281">
        <v>150000</v>
      </c>
      <c r="W67" s="234">
        <f t="shared" si="2"/>
        <v>0</v>
      </c>
      <c r="X67" s="22">
        <v>215714.28571428574</v>
      </c>
      <c r="Y67" s="261">
        <f t="shared" si="9"/>
        <v>-2857.1428571428405</v>
      </c>
    </row>
    <row r="68" spans="1:25">
      <c r="A68" s="2"/>
      <c r="B68" s="71">
        <v>64</v>
      </c>
      <c r="C68" s="194" t="s">
        <v>110</v>
      </c>
      <c r="D68" s="234">
        <v>128000</v>
      </c>
      <c r="E68" s="143">
        <v>187142.85714285716</v>
      </c>
      <c r="F68">
        <v>128000</v>
      </c>
      <c r="G68" s="234">
        <f t="shared" si="3"/>
        <v>0</v>
      </c>
      <c r="H68">
        <v>187142.85714285716</v>
      </c>
      <c r="I68" s="261">
        <f t="shared" si="4"/>
        <v>0</v>
      </c>
      <c r="J68">
        <v>128000</v>
      </c>
      <c r="K68" s="234">
        <f t="shared" si="5"/>
        <v>0</v>
      </c>
      <c r="L68" s="143">
        <v>187142.85714285716</v>
      </c>
      <c r="M68" s="261">
        <f t="shared" si="6"/>
        <v>0</v>
      </c>
      <c r="N68" s="234">
        <v>128000</v>
      </c>
      <c r="O68" s="234">
        <f t="shared" si="0"/>
        <v>0</v>
      </c>
      <c r="P68" s="143">
        <v>187142.85714285716</v>
      </c>
      <c r="Q68" s="261">
        <f t="shared" si="7"/>
        <v>0</v>
      </c>
      <c r="R68" s="281">
        <v>128000</v>
      </c>
      <c r="S68" s="234">
        <f t="shared" si="1"/>
        <v>0</v>
      </c>
      <c r="T68" s="22">
        <v>187142.85714285716</v>
      </c>
      <c r="U68" s="261">
        <f t="shared" si="8"/>
        <v>0</v>
      </c>
      <c r="V68" s="281">
        <v>128000</v>
      </c>
      <c r="W68" s="234">
        <f t="shared" si="2"/>
        <v>0</v>
      </c>
      <c r="X68" s="22">
        <v>184285.71428571429</v>
      </c>
      <c r="Y68" s="261">
        <f t="shared" si="9"/>
        <v>-2857.1428571428696</v>
      </c>
    </row>
    <row r="69" spans="1:25">
      <c r="A69" s="71" t="s">
        <v>847</v>
      </c>
      <c r="B69" s="2">
        <v>65</v>
      </c>
      <c r="C69" s="237" t="s">
        <v>839</v>
      </c>
      <c r="D69" s="234">
        <v>123500</v>
      </c>
      <c r="E69" s="143">
        <v>179285.71428571429</v>
      </c>
      <c r="F69">
        <v>130000</v>
      </c>
      <c r="G69" s="234">
        <f t="shared" si="3"/>
        <v>6500</v>
      </c>
      <c r="H69">
        <v>188571.42857142858</v>
      </c>
      <c r="I69" s="261">
        <f t="shared" si="4"/>
        <v>9285.7142857142899</v>
      </c>
      <c r="J69">
        <v>130000</v>
      </c>
      <c r="K69" s="234">
        <f t="shared" si="5"/>
        <v>0</v>
      </c>
      <c r="L69" s="143">
        <v>188571.42857142858</v>
      </c>
      <c r="M69" s="261">
        <f t="shared" si="6"/>
        <v>0</v>
      </c>
      <c r="N69" s="234">
        <v>130000</v>
      </c>
      <c r="O69" s="234">
        <f t="shared" ref="O69:O94" si="10">N69-J69</f>
        <v>0</v>
      </c>
      <c r="P69" s="143">
        <v>188571.42857142858</v>
      </c>
      <c r="Q69" s="261">
        <f t="shared" si="7"/>
        <v>0</v>
      </c>
      <c r="R69" s="281">
        <v>130000</v>
      </c>
      <c r="S69" s="234">
        <f t="shared" si="1"/>
        <v>0</v>
      </c>
      <c r="T69" s="22">
        <v>188571.42857142858</v>
      </c>
      <c r="U69" s="261">
        <f t="shared" si="8"/>
        <v>0</v>
      </c>
      <c r="V69" s="281">
        <v>130000</v>
      </c>
      <c r="W69" s="234">
        <f t="shared" si="2"/>
        <v>0</v>
      </c>
      <c r="X69" s="22">
        <v>187142.85714285716</v>
      </c>
      <c r="Y69" s="261">
        <f t="shared" si="9"/>
        <v>-1428.5714285714203</v>
      </c>
    </row>
    <row r="70" spans="1:25">
      <c r="A70" s="2"/>
      <c r="B70" s="71">
        <v>66</v>
      </c>
      <c r="C70" s="194" t="s">
        <v>111</v>
      </c>
      <c r="D70" s="234">
        <v>130000</v>
      </c>
      <c r="E70" s="143">
        <v>190000</v>
      </c>
      <c r="F70">
        <v>130000</v>
      </c>
      <c r="G70" s="234">
        <f t="shared" ref="G70:G133" si="11">F70-D70</f>
        <v>0</v>
      </c>
      <c r="H70">
        <v>190000</v>
      </c>
      <c r="I70" s="261">
        <f t="shared" ref="I70:I133" si="12">H70-E70</f>
        <v>0</v>
      </c>
      <c r="J70">
        <v>130000</v>
      </c>
      <c r="K70" s="234">
        <f t="shared" ref="K70:K133" si="13">J70-F70</f>
        <v>0</v>
      </c>
      <c r="L70" s="143">
        <v>190000</v>
      </c>
      <c r="M70" s="261">
        <f t="shared" ref="M70:M133" si="14">L70-H70</f>
        <v>0</v>
      </c>
      <c r="N70" s="234">
        <v>130000</v>
      </c>
      <c r="O70" s="234">
        <f t="shared" si="10"/>
        <v>0</v>
      </c>
      <c r="P70" s="143">
        <v>190000</v>
      </c>
      <c r="Q70" s="261">
        <f t="shared" ref="Q70:Q133" si="15">P70-L70</f>
        <v>0</v>
      </c>
      <c r="R70" s="281">
        <v>130000</v>
      </c>
      <c r="S70" s="234">
        <f t="shared" ref="S70:S133" si="16">R70-N70</f>
        <v>0</v>
      </c>
      <c r="T70" s="22">
        <v>190000</v>
      </c>
      <c r="U70" s="261">
        <f t="shared" ref="U70:U133" si="17">T70-P70</f>
        <v>0</v>
      </c>
      <c r="V70" s="281">
        <v>130000</v>
      </c>
      <c r="W70" s="234">
        <f t="shared" ref="W70:W133" si="18">V70-R70</f>
        <v>0</v>
      </c>
      <c r="X70" s="22">
        <v>187142.85714285716</v>
      </c>
      <c r="Y70" s="261">
        <f t="shared" ref="Y70:Y133" si="19">X70-T70</f>
        <v>-2857.1428571428405</v>
      </c>
    </row>
    <row r="71" spans="1:25">
      <c r="A71" s="2"/>
      <c r="B71" s="71">
        <v>67</v>
      </c>
      <c r="C71" s="203" t="s">
        <v>630</v>
      </c>
      <c r="D71" s="234">
        <v>125750</v>
      </c>
      <c r="E71" s="143">
        <v>175357.14285714287</v>
      </c>
      <c r="F71">
        <v>125750</v>
      </c>
      <c r="G71" s="234">
        <f t="shared" si="11"/>
        <v>0</v>
      </c>
      <c r="H71">
        <v>175357.14285714287</v>
      </c>
      <c r="I71" s="261">
        <f t="shared" si="12"/>
        <v>0</v>
      </c>
      <c r="J71">
        <v>125750</v>
      </c>
      <c r="K71" s="234">
        <f t="shared" si="13"/>
        <v>0</v>
      </c>
      <c r="L71" s="143">
        <v>175357.14285714287</v>
      </c>
      <c r="M71" s="261">
        <f t="shared" si="14"/>
        <v>0</v>
      </c>
      <c r="N71" s="234">
        <v>125750</v>
      </c>
      <c r="O71" s="234">
        <f t="shared" si="10"/>
        <v>0</v>
      </c>
      <c r="P71" s="143">
        <v>175357.14285714287</v>
      </c>
      <c r="Q71" s="261">
        <f t="shared" si="15"/>
        <v>0</v>
      </c>
      <c r="R71" s="281">
        <v>125750</v>
      </c>
      <c r="S71" s="234">
        <f t="shared" si="16"/>
        <v>0</v>
      </c>
      <c r="T71" s="22">
        <v>179642.85714285716</v>
      </c>
      <c r="U71" s="261">
        <f t="shared" si="17"/>
        <v>4285.7142857142899</v>
      </c>
      <c r="V71" s="281">
        <v>125750</v>
      </c>
      <c r="W71" s="234">
        <f t="shared" si="18"/>
        <v>0</v>
      </c>
      <c r="X71" s="22">
        <v>179642.85714285716</v>
      </c>
      <c r="Y71" s="261">
        <f t="shared" si="19"/>
        <v>0</v>
      </c>
    </row>
    <row r="72" spans="1:25">
      <c r="A72" s="2"/>
      <c r="B72" s="2">
        <v>68</v>
      </c>
      <c r="C72" s="203" t="s">
        <v>631</v>
      </c>
      <c r="D72" s="234">
        <v>125750</v>
      </c>
      <c r="E72" s="143">
        <v>175357.14285714287</v>
      </c>
      <c r="F72">
        <v>125750</v>
      </c>
      <c r="G72" s="234">
        <f t="shared" si="11"/>
        <v>0</v>
      </c>
      <c r="H72">
        <v>175357.14285714287</v>
      </c>
      <c r="I72" s="261">
        <f t="shared" si="12"/>
        <v>0</v>
      </c>
      <c r="J72">
        <v>125750</v>
      </c>
      <c r="K72" s="234">
        <f t="shared" si="13"/>
        <v>0</v>
      </c>
      <c r="L72" s="143">
        <v>175357.14285714287</v>
      </c>
      <c r="M72" s="261">
        <f t="shared" si="14"/>
        <v>0</v>
      </c>
      <c r="N72" s="234">
        <v>125750</v>
      </c>
      <c r="O72" s="234">
        <f t="shared" si="10"/>
        <v>0</v>
      </c>
      <c r="P72" s="143">
        <v>175357.14285714287</v>
      </c>
      <c r="Q72" s="261">
        <f t="shared" si="15"/>
        <v>0</v>
      </c>
      <c r="R72" s="281">
        <v>125750</v>
      </c>
      <c r="S72" s="234">
        <f t="shared" si="16"/>
        <v>0</v>
      </c>
      <c r="T72" s="22">
        <v>179642.85714285716</v>
      </c>
      <c r="U72" s="261">
        <f t="shared" si="17"/>
        <v>4285.7142857142899</v>
      </c>
      <c r="V72" s="281">
        <v>125750</v>
      </c>
      <c r="W72" s="234">
        <f t="shared" si="18"/>
        <v>0</v>
      </c>
      <c r="X72" s="22">
        <v>179642.85714285716</v>
      </c>
      <c r="Y72" s="261">
        <f t="shared" si="19"/>
        <v>0</v>
      </c>
    </row>
    <row r="73" spans="1:25">
      <c r="A73" s="2"/>
      <c r="B73" s="71">
        <v>69</v>
      </c>
      <c r="C73" s="195" t="s">
        <v>113</v>
      </c>
      <c r="D73" s="234">
        <v>137500</v>
      </c>
      <c r="E73" s="143">
        <v>192142.85714285716</v>
      </c>
      <c r="F73">
        <v>137500</v>
      </c>
      <c r="G73" s="234">
        <f t="shared" si="11"/>
        <v>0</v>
      </c>
      <c r="H73">
        <v>192142.85714285716</v>
      </c>
      <c r="I73" s="261">
        <f t="shared" si="12"/>
        <v>0</v>
      </c>
      <c r="J73">
        <v>137500</v>
      </c>
      <c r="K73" s="234">
        <f t="shared" si="13"/>
        <v>0</v>
      </c>
      <c r="L73" s="143">
        <v>192142.85714285716</v>
      </c>
      <c r="M73" s="261">
        <f t="shared" si="14"/>
        <v>0</v>
      </c>
      <c r="N73" s="234">
        <v>137500</v>
      </c>
      <c r="O73" s="234">
        <f t="shared" si="10"/>
        <v>0</v>
      </c>
      <c r="P73" s="143">
        <v>192142.85714285716</v>
      </c>
      <c r="Q73" s="261">
        <f t="shared" si="15"/>
        <v>0</v>
      </c>
      <c r="R73" s="281">
        <v>137500</v>
      </c>
      <c r="S73" s="234">
        <f t="shared" si="16"/>
        <v>0</v>
      </c>
      <c r="T73" s="22">
        <v>192142.85714285716</v>
      </c>
      <c r="U73" s="261">
        <f t="shared" si="17"/>
        <v>0</v>
      </c>
      <c r="V73" s="281">
        <v>137500</v>
      </c>
      <c r="W73" s="234">
        <f t="shared" si="18"/>
        <v>0</v>
      </c>
      <c r="X73" s="22">
        <v>192142.85714285716</v>
      </c>
      <c r="Y73" s="261">
        <f t="shared" si="19"/>
        <v>0</v>
      </c>
    </row>
    <row r="74" spans="1:25">
      <c r="A74" s="2"/>
      <c r="B74" s="71">
        <v>70</v>
      </c>
      <c r="C74" s="195" t="s">
        <v>114</v>
      </c>
      <c r="D74" s="234">
        <v>137750</v>
      </c>
      <c r="E74" s="143">
        <v>192500</v>
      </c>
      <c r="F74">
        <v>137750</v>
      </c>
      <c r="G74" s="234">
        <f t="shared" si="11"/>
        <v>0</v>
      </c>
      <c r="H74">
        <v>192500</v>
      </c>
      <c r="I74" s="261">
        <f t="shared" si="12"/>
        <v>0</v>
      </c>
      <c r="J74">
        <v>137750</v>
      </c>
      <c r="K74" s="234">
        <f t="shared" si="13"/>
        <v>0</v>
      </c>
      <c r="L74" s="143">
        <v>192500</v>
      </c>
      <c r="M74" s="261">
        <f t="shared" si="14"/>
        <v>0</v>
      </c>
      <c r="N74" s="234">
        <v>137750</v>
      </c>
      <c r="O74" s="234">
        <f t="shared" si="10"/>
        <v>0</v>
      </c>
      <c r="P74" s="143">
        <v>192500</v>
      </c>
      <c r="Q74" s="261">
        <f t="shared" si="15"/>
        <v>0</v>
      </c>
      <c r="R74" s="281">
        <v>137750</v>
      </c>
      <c r="S74" s="234">
        <f t="shared" si="16"/>
        <v>0</v>
      </c>
      <c r="T74" s="22">
        <v>196785.71428571429</v>
      </c>
      <c r="U74" s="261">
        <f t="shared" si="17"/>
        <v>4285.7142857142899</v>
      </c>
      <c r="V74" s="281">
        <v>137750</v>
      </c>
      <c r="W74" s="234">
        <f t="shared" si="18"/>
        <v>0</v>
      </c>
      <c r="X74" s="22">
        <v>196785.71428571429</v>
      </c>
      <c r="Y74" s="261">
        <f t="shared" si="19"/>
        <v>0</v>
      </c>
    </row>
    <row r="75" spans="1:25">
      <c r="A75" s="2"/>
      <c r="B75" s="2">
        <v>71</v>
      </c>
      <c r="C75" s="195" t="s">
        <v>115</v>
      </c>
      <c r="D75" s="234">
        <v>205750</v>
      </c>
      <c r="E75" s="143">
        <v>289642.85714285716</v>
      </c>
      <c r="F75">
        <v>205750</v>
      </c>
      <c r="G75" s="234">
        <f t="shared" si="11"/>
        <v>0</v>
      </c>
      <c r="H75">
        <v>289642.85714285716</v>
      </c>
      <c r="I75" s="261">
        <f t="shared" si="12"/>
        <v>0</v>
      </c>
      <c r="J75">
        <v>205750</v>
      </c>
      <c r="K75" s="234">
        <f t="shared" si="13"/>
        <v>0</v>
      </c>
      <c r="L75" s="143">
        <v>289642.85714285716</v>
      </c>
      <c r="M75" s="261">
        <f t="shared" si="14"/>
        <v>0</v>
      </c>
      <c r="N75" s="234">
        <v>205750</v>
      </c>
      <c r="O75" s="234">
        <f t="shared" si="10"/>
        <v>0</v>
      </c>
      <c r="P75" s="143">
        <v>289642.85714285716</v>
      </c>
      <c r="Q75" s="261">
        <f t="shared" si="15"/>
        <v>0</v>
      </c>
      <c r="R75" s="281">
        <v>205750</v>
      </c>
      <c r="S75" s="234">
        <f t="shared" si="16"/>
        <v>0</v>
      </c>
      <c r="T75" s="22">
        <v>289642.85714285716</v>
      </c>
      <c r="U75" s="261">
        <f t="shared" si="17"/>
        <v>0</v>
      </c>
      <c r="V75" s="281">
        <v>205750</v>
      </c>
      <c r="W75" s="234">
        <f t="shared" si="18"/>
        <v>0</v>
      </c>
      <c r="X75" s="22">
        <v>289642.85714285716</v>
      </c>
      <c r="Y75" s="261">
        <f t="shared" si="19"/>
        <v>0</v>
      </c>
    </row>
    <row r="76" spans="1:25">
      <c r="A76" s="2"/>
      <c r="B76" s="71">
        <v>72</v>
      </c>
      <c r="C76" s="195" t="s">
        <v>116</v>
      </c>
      <c r="D76" s="234">
        <v>205750</v>
      </c>
      <c r="E76" s="143">
        <v>289642.85714285716</v>
      </c>
      <c r="F76">
        <v>205750</v>
      </c>
      <c r="G76" s="234">
        <f t="shared" si="11"/>
        <v>0</v>
      </c>
      <c r="H76">
        <v>289642.85714285716</v>
      </c>
      <c r="I76" s="261">
        <f t="shared" si="12"/>
        <v>0</v>
      </c>
      <c r="J76">
        <v>205750</v>
      </c>
      <c r="K76" s="234">
        <f t="shared" si="13"/>
        <v>0</v>
      </c>
      <c r="L76" s="143">
        <v>289642.85714285716</v>
      </c>
      <c r="M76" s="261">
        <f t="shared" si="14"/>
        <v>0</v>
      </c>
      <c r="N76" s="234">
        <v>205750</v>
      </c>
      <c r="O76" s="234">
        <f t="shared" si="10"/>
        <v>0</v>
      </c>
      <c r="P76" s="143">
        <v>289642.85714285716</v>
      </c>
      <c r="Q76" s="261">
        <f t="shared" si="15"/>
        <v>0</v>
      </c>
      <c r="R76" s="281">
        <v>205750</v>
      </c>
      <c r="S76" s="234">
        <f t="shared" si="16"/>
        <v>0</v>
      </c>
      <c r="T76" s="22">
        <v>289642.85714285716</v>
      </c>
      <c r="U76" s="261">
        <f t="shared" si="17"/>
        <v>0</v>
      </c>
      <c r="V76" s="281">
        <v>205750</v>
      </c>
      <c r="W76" s="234">
        <f t="shared" si="18"/>
        <v>0</v>
      </c>
      <c r="X76" s="22">
        <v>289642.85714285716</v>
      </c>
      <c r="Y76" s="261">
        <f t="shared" si="19"/>
        <v>0</v>
      </c>
    </row>
    <row r="77" spans="1:25">
      <c r="A77" s="2"/>
      <c r="B77" s="71">
        <v>73</v>
      </c>
      <c r="C77" s="195" t="s">
        <v>117</v>
      </c>
      <c r="D77" s="234">
        <v>137500</v>
      </c>
      <c r="E77" s="143">
        <v>192142.85714285716</v>
      </c>
      <c r="F77">
        <v>137500</v>
      </c>
      <c r="G77" s="234">
        <f t="shared" si="11"/>
        <v>0</v>
      </c>
      <c r="H77">
        <v>192142.85714285716</v>
      </c>
      <c r="I77" s="261">
        <f t="shared" si="12"/>
        <v>0</v>
      </c>
      <c r="J77">
        <v>137500</v>
      </c>
      <c r="K77" s="234">
        <f t="shared" si="13"/>
        <v>0</v>
      </c>
      <c r="L77" s="143">
        <v>192142.85714285716</v>
      </c>
      <c r="M77" s="261">
        <f t="shared" si="14"/>
        <v>0</v>
      </c>
      <c r="N77" s="234">
        <v>137500</v>
      </c>
      <c r="O77" s="234">
        <f t="shared" si="10"/>
        <v>0</v>
      </c>
      <c r="P77" s="143">
        <v>192142.85714285716</v>
      </c>
      <c r="Q77" s="261">
        <f t="shared" si="15"/>
        <v>0</v>
      </c>
      <c r="R77" s="281">
        <v>137500</v>
      </c>
      <c r="S77" s="234">
        <f t="shared" si="16"/>
        <v>0</v>
      </c>
      <c r="T77" s="22">
        <v>192142.85714285716</v>
      </c>
      <c r="U77" s="261">
        <f t="shared" si="17"/>
        <v>0</v>
      </c>
      <c r="V77" s="281">
        <v>137500</v>
      </c>
      <c r="W77" s="234">
        <f t="shared" si="18"/>
        <v>0</v>
      </c>
      <c r="X77" s="22">
        <v>192142.85714285716</v>
      </c>
      <c r="Y77" s="261">
        <f t="shared" si="19"/>
        <v>0</v>
      </c>
    </row>
    <row r="78" spans="1:25">
      <c r="A78" s="2"/>
      <c r="B78" s="2">
        <v>74</v>
      </c>
      <c r="C78" s="203" t="s">
        <v>632</v>
      </c>
      <c r="D78" s="234">
        <v>85750</v>
      </c>
      <c r="E78" s="143">
        <v>118214.28571428572</v>
      </c>
      <c r="F78">
        <v>85750</v>
      </c>
      <c r="G78" s="234">
        <f t="shared" si="11"/>
        <v>0</v>
      </c>
      <c r="H78">
        <v>118214.28571428572</v>
      </c>
      <c r="I78" s="261">
        <f t="shared" si="12"/>
        <v>0</v>
      </c>
      <c r="J78">
        <v>85750</v>
      </c>
      <c r="K78" s="234">
        <f t="shared" si="13"/>
        <v>0</v>
      </c>
      <c r="L78" s="143">
        <v>118214.28571428572</v>
      </c>
      <c r="M78" s="261">
        <f t="shared" si="14"/>
        <v>0</v>
      </c>
      <c r="N78" s="234">
        <v>85750</v>
      </c>
      <c r="O78" s="234">
        <f t="shared" si="10"/>
        <v>0</v>
      </c>
      <c r="P78" s="143">
        <v>118214.28571428572</v>
      </c>
      <c r="Q78" s="261">
        <f t="shared" si="15"/>
        <v>0</v>
      </c>
      <c r="R78" s="281">
        <v>85750</v>
      </c>
      <c r="S78" s="234">
        <f t="shared" si="16"/>
        <v>0</v>
      </c>
      <c r="T78" s="22">
        <v>118214.28571428572</v>
      </c>
      <c r="U78" s="261">
        <f t="shared" si="17"/>
        <v>0</v>
      </c>
      <c r="V78" s="281">
        <v>85750</v>
      </c>
      <c r="W78" s="234">
        <f t="shared" si="18"/>
        <v>0</v>
      </c>
      <c r="X78" s="22">
        <v>122500.00000000001</v>
      </c>
      <c r="Y78" s="261">
        <f t="shared" si="19"/>
        <v>4285.7142857142899</v>
      </c>
    </row>
    <row r="79" spans="1:25">
      <c r="A79" s="2"/>
      <c r="B79" s="71">
        <v>75</v>
      </c>
      <c r="C79" s="194" t="s">
        <v>118</v>
      </c>
      <c r="D79" s="234">
        <v>78000</v>
      </c>
      <c r="E79" s="143">
        <v>114285.71428571429</v>
      </c>
      <c r="F79">
        <v>78000</v>
      </c>
      <c r="G79" s="234">
        <f t="shared" si="11"/>
        <v>0</v>
      </c>
      <c r="H79">
        <v>114285.71428571429</v>
      </c>
      <c r="I79" s="261">
        <f t="shared" si="12"/>
        <v>0</v>
      </c>
      <c r="J79">
        <v>78000</v>
      </c>
      <c r="K79" s="234">
        <f t="shared" si="13"/>
        <v>0</v>
      </c>
      <c r="L79" s="143">
        <v>114285.71428571429</v>
      </c>
      <c r="M79" s="261">
        <f t="shared" si="14"/>
        <v>0</v>
      </c>
      <c r="N79" s="234">
        <v>78000</v>
      </c>
      <c r="O79" s="234">
        <f t="shared" si="10"/>
        <v>0</v>
      </c>
      <c r="P79" s="143">
        <v>114285.71428571429</v>
      </c>
      <c r="Q79" s="261">
        <f t="shared" si="15"/>
        <v>0</v>
      </c>
      <c r="R79" s="281">
        <v>78000</v>
      </c>
      <c r="S79" s="234">
        <f t="shared" si="16"/>
        <v>0</v>
      </c>
      <c r="T79" s="22">
        <v>114285.71428571429</v>
      </c>
      <c r="U79" s="261">
        <f t="shared" si="17"/>
        <v>0</v>
      </c>
      <c r="V79" s="281">
        <v>78000</v>
      </c>
      <c r="W79" s="234">
        <f t="shared" si="18"/>
        <v>0</v>
      </c>
      <c r="X79" s="22">
        <v>114285.71428571429</v>
      </c>
      <c r="Y79" s="261">
        <f t="shared" si="19"/>
        <v>0</v>
      </c>
    </row>
    <row r="80" spans="1:25">
      <c r="A80" s="2"/>
      <c r="B80" s="71">
        <v>76</v>
      </c>
      <c r="C80" s="194" t="s">
        <v>120</v>
      </c>
      <c r="D80" s="234">
        <v>73000</v>
      </c>
      <c r="E80" s="143">
        <v>107142.85714285714</v>
      </c>
      <c r="F80">
        <v>73000</v>
      </c>
      <c r="G80" s="234">
        <f t="shared" si="11"/>
        <v>0</v>
      </c>
      <c r="H80">
        <v>108571.42857142858</v>
      </c>
      <c r="I80" s="261">
        <f t="shared" si="12"/>
        <v>1428.5714285714348</v>
      </c>
      <c r="J80">
        <v>73000</v>
      </c>
      <c r="K80" s="234">
        <f t="shared" si="13"/>
        <v>0</v>
      </c>
      <c r="L80" s="143">
        <v>108571.42857142858</v>
      </c>
      <c r="M80" s="261">
        <f t="shared" si="14"/>
        <v>0</v>
      </c>
      <c r="N80" s="234">
        <v>73000</v>
      </c>
      <c r="O80" s="234">
        <f t="shared" si="10"/>
        <v>0</v>
      </c>
      <c r="P80" s="143">
        <v>110000</v>
      </c>
      <c r="Q80" s="261">
        <f t="shared" si="15"/>
        <v>1428.5714285714203</v>
      </c>
      <c r="R80" s="281">
        <v>73000</v>
      </c>
      <c r="S80" s="234">
        <f t="shared" si="16"/>
        <v>0</v>
      </c>
      <c r="T80" s="22">
        <v>110000</v>
      </c>
      <c r="U80" s="261">
        <f t="shared" si="17"/>
        <v>0</v>
      </c>
      <c r="V80" s="281">
        <v>73000</v>
      </c>
      <c r="W80" s="234">
        <f t="shared" si="18"/>
        <v>0</v>
      </c>
      <c r="X80" s="22">
        <v>110000</v>
      </c>
      <c r="Y80" s="261">
        <f t="shared" si="19"/>
        <v>0</v>
      </c>
    </row>
    <row r="81" spans="1:25">
      <c r="A81" s="2"/>
      <c r="B81" s="2">
        <v>77</v>
      </c>
      <c r="C81" s="194" t="s">
        <v>121</v>
      </c>
      <c r="D81" s="234">
        <v>65000</v>
      </c>
      <c r="E81" s="143">
        <v>95714.285714285725</v>
      </c>
      <c r="F81">
        <v>65000</v>
      </c>
      <c r="G81" s="234">
        <f t="shared" si="11"/>
        <v>0</v>
      </c>
      <c r="H81">
        <v>97142.857142857145</v>
      </c>
      <c r="I81" s="261">
        <f t="shared" si="12"/>
        <v>1428.5714285714203</v>
      </c>
      <c r="J81">
        <v>65000</v>
      </c>
      <c r="K81" s="234">
        <f t="shared" si="13"/>
        <v>0</v>
      </c>
      <c r="L81" s="143">
        <v>97142.857142857145</v>
      </c>
      <c r="M81" s="261">
        <f t="shared" si="14"/>
        <v>0</v>
      </c>
      <c r="N81" s="234">
        <v>65000</v>
      </c>
      <c r="O81" s="234">
        <f t="shared" si="10"/>
        <v>0</v>
      </c>
      <c r="P81" s="143">
        <v>98571.42857142858</v>
      </c>
      <c r="Q81" s="261">
        <f t="shared" si="15"/>
        <v>1428.5714285714348</v>
      </c>
      <c r="R81" s="281">
        <v>65000</v>
      </c>
      <c r="S81" s="234">
        <f t="shared" si="16"/>
        <v>0</v>
      </c>
      <c r="T81" s="22">
        <v>98571.42857142858</v>
      </c>
      <c r="U81" s="261">
        <f t="shared" si="17"/>
        <v>0</v>
      </c>
      <c r="V81" s="281">
        <v>65000</v>
      </c>
      <c r="W81" s="234">
        <f t="shared" si="18"/>
        <v>0</v>
      </c>
      <c r="X81" s="22">
        <v>98571.42857142858</v>
      </c>
      <c r="Y81" s="261">
        <f t="shared" si="19"/>
        <v>0</v>
      </c>
    </row>
    <row r="82" spans="1:25">
      <c r="A82" s="2"/>
      <c r="B82" s="71">
        <v>78</v>
      </c>
      <c r="C82" s="194" t="s">
        <v>122</v>
      </c>
      <c r="D82" s="234">
        <v>65000</v>
      </c>
      <c r="E82" s="143">
        <v>95714.285714285725</v>
      </c>
      <c r="F82">
        <v>65000</v>
      </c>
      <c r="G82" s="234">
        <f t="shared" si="11"/>
        <v>0</v>
      </c>
      <c r="H82">
        <v>95714.285714285725</v>
      </c>
      <c r="I82" s="261">
        <f t="shared" si="12"/>
        <v>0</v>
      </c>
      <c r="J82">
        <v>65000</v>
      </c>
      <c r="K82" s="234">
        <f t="shared" si="13"/>
        <v>0</v>
      </c>
      <c r="L82" s="143">
        <v>95714.285714285725</v>
      </c>
      <c r="M82" s="261">
        <f t="shared" si="14"/>
        <v>0</v>
      </c>
      <c r="N82" s="234">
        <v>65000</v>
      </c>
      <c r="O82" s="234">
        <f t="shared" si="10"/>
        <v>0</v>
      </c>
      <c r="P82" s="143">
        <v>95714.285714285725</v>
      </c>
      <c r="Q82" s="261">
        <f t="shared" si="15"/>
        <v>0</v>
      </c>
      <c r="R82" s="281">
        <v>65000</v>
      </c>
      <c r="S82" s="234">
        <f t="shared" si="16"/>
        <v>0</v>
      </c>
      <c r="T82" s="22">
        <v>95714.285714285725</v>
      </c>
      <c r="U82" s="261">
        <f t="shared" si="17"/>
        <v>0</v>
      </c>
      <c r="V82" s="281">
        <v>65000</v>
      </c>
      <c r="W82" s="234">
        <f t="shared" si="18"/>
        <v>0</v>
      </c>
      <c r="X82" s="22">
        <v>95714.285714285725</v>
      </c>
      <c r="Y82" s="261">
        <f t="shared" si="19"/>
        <v>0</v>
      </c>
    </row>
    <row r="83" spans="1:25">
      <c r="A83" s="2"/>
      <c r="B83" s="71">
        <v>79</v>
      </c>
      <c r="C83" s="202" t="s">
        <v>633</v>
      </c>
      <c r="D83" s="234">
        <v>86500</v>
      </c>
      <c r="E83" s="143">
        <v>126428.57142857143</v>
      </c>
      <c r="F83">
        <v>86500</v>
      </c>
      <c r="G83" s="234">
        <f t="shared" si="11"/>
        <v>0</v>
      </c>
      <c r="H83">
        <v>126428.57142857143</v>
      </c>
      <c r="I83" s="261">
        <f t="shared" si="12"/>
        <v>0</v>
      </c>
      <c r="J83">
        <v>86500</v>
      </c>
      <c r="K83" s="234">
        <f t="shared" si="13"/>
        <v>0</v>
      </c>
      <c r="L83" s="143">
        <v>126428.57142857143</v>
      </c>
      <c r="M83" s="261">
        <f t="shared" si="14"/>
        <v>0</v>
      </c>
      <c r="N83" s="234">
        <v>86500</v>
      </c>
      <c r="O83" s="234">
        <f t="shared" si="10"/>
        <v>0</v>
      </c>
      <c r="P83" s="143">
        <v>126428.57142857143</v>
      </c>
      <c r="Q83" s="261">
        <f t="shared" si="15"/>
        <v>0</v>
      </c>
      <c r="R83" s="281">
        <v>86500</v>
      </c>
      <c r="S83" s="234">
        <f t="shared" si="16"/>
        <v>0</v>
      </c>
      <c r="T83" s="22">
        <v>126428.57142857143</v>
      </c>
      <c r="U83" s="261">
        <f t="shared" si="17"/>
        <v>0</v>
      </c>
      <c r="V83" s="281">
        <v>86500</v>
      </c>
      <c r="W83" s="234">
        <f t="shared" si="18"/>
        <v>0</v>
      </c>
      <c r="X83" s="22">
        <v>126428.57142857143</v>
      </c>
      <c r="Y83" s="261">
        <f t="shared" si="19"/>
        <v>0</v>
      </c>
    </row>
    <row r="84" spans="1:25">
      <c r="A84" s="2"/>
      <c r="B84" s="2">
        <v>80</v>
      </c>
      <c r="C84" s="202" t="s">
        <v>634</v>
      </c>
      <c r="D84" s="234">
        <v>81500</v>
      </c>
      <c r="E84" s="143">
        <v>119285.71428571429</v>
      </c>
      <c r="F84">
        <v>81500</v>
      </c>
      <c r="G84" s="234">
        <f t="shared" si="11"/>
        <v>0</v>
      </c>
      <c r="H84">
        <v>119285.71428571429</v>
      </c>
      <c r="I84" s="261">
        <f t="shared" si="12"/>
        <v>0</v>
      </c>
      <c r="J84">
        <v>81500</v>
      </c>
      <c r="K84" s="234">
        <f t="shared" si="13"/>
        <v>0</v>
      </c>
      <c r="L84" s="143">
        <v>119285.71428571429</v>
      </c>
      <c r="M84" s="261">
        <f t="shared" si="14"/>
        <v>0</v>
      </c>
      <c r="N84" s="234">
        <v>81500</v>
      </c>
      <c r="O84" s="234">
        <f t="shared" si="10"/>
        <v>0</v>
      </c>
      <c r="P84" s="143">
        <v>120714.28571428572</v>
      </c>
      <c r="Q84" s="261">
        <f t="shared" si="15"/>
        <v>1428.5714285714348</v>
      </c>
      <c r="R84" s="281">
        <v>81500</v>
      </c>
      <c r="S84" s="234">
        <f t="shared" si="16"/>
        <v>0</v>
      </c>
      <c r="T84" s="22">
        <v>120714.28571428572</v>
      </c>
      <c r="U84" s="261">
        <f t="shared" si="17"/>
        <v>0</v>
      </c>
      <c r="V84" s="281">
        <v>81500</v>
      </c>
      <c r="W84" s="234">
        <f t="shared" si="18"/>
        <v>0</v>
      </c>
      <c r="X84" s="22">
        <v>120714.28571428572</v>
      </c>
      <c r="Y84" s="261">
        <f t="shared" si="19"/>
        <v>0</v>
      </c>
    </row>
    <row r="85" spans="1:25">
      <c r="A85" s="2"/>
      <c r="B85" s="71">
        <v>81</v>
      </c>
      <c r="C85" s="194" t="s">
        <v>124</v>
      </c>
      <c r="D85" s="234">
        <v>86500</v>
      </c>
      <c r="E85" s="143">
        <v>126428.57142857143</v>
      </c>
      <c r="F85">
        <v>86500</v>
      </c>
      <c r="G85" s="234">
        <f t="shared" si="11"/>
        <v>0</v>
      </c>
      <c r="H85">
        <v>126428.57142857143</v>
      </c>
      <c r="I85" s="261">
        <f t="shared" si="12"/>
        <v>0</v>
      </c>
      <c r="J85">
        <v>86500</v>
      </c>
      <c r="K85" s="234">
        <f t="shared" si="13"/>
        <v>0</v>
      </c>
      <c r="L85" s="143">
        <v>126428.57142857143</v>
      </c>
      <c r="M85" s="261">
        <f t="shared" si="14"/>
        <v>0</v>
      </c>
      <c r="N85" s="234">
        <v>86500</v>
      </c>
      <c r="O85" s="234">
        <f t="shared" si="10"/>
        <v>0</v>
      </c>
      <c r="P85" s="143">
        <v>126428.57142857143</v>
      </c>
      <c r="Q85" s="261">
        <f t="shared" si="15"/>
        <v>0</v>
      </c>
      <c r="R85" s="281">
        <v>86500</v>
      </c>
      <c r="S85" s="234">
        <f t="shared" si="16"/>
        <v>0</v>
      </c>
      <c r="T85" s="22">
        <v>126428.57142857143</v>
      </c>
      <c r="U85" s="261">
        <f t="shared" si="17"/>
        <v>0</v>
      </c>
      <c r="V85" s="281">
        <v>86500</v>
      </c>
      <c r="W85" s="234">
        <f t="shared" si="18"/>
        <v>0</v>
      </c>
      <c r="X85" s="22">
        <v>126428.57142857143</v>
      </c>
      <c r="Y85" s="261">
        <f t="shared" si="19"/>
        <v>0</v>
      </c>
    </row>
    <row r="86" spans="1:25">
      <c r="A86" s="2"/>
      <c r="B86" s="71">
        <v>82</v>
      </c>
      <c r="C86" s="194" t="s">
        <v>125</v>
      </c>
      <c r="D86" s="234">
        <v>81500</v>
      </c>
      <c r="E86" s="143">
        <v>119285.71428571429</v>
      </c>
      <c r="F86">
        <v>81500</v>
      </c>
      <c r="G86" s="234">
        <f t="shared" si="11"/>
        <v>0</v>
      </c>
      <c r="H86">
        <v>120714.28571428572</v>
      </c>
      <c r="I86" s="261">
        <f t="shared" si="12"/>
        <v>1428.5714285714348</v>
      </c>
      <c r="J86">
        <v>81500</v>
      </c>
      <c r="K86" s="234">
        <f t="shared" si="13"/>
        <v>0</v>
      </c>
      <c r="L86" s="143">
        <v>120714.28571428572</v>
      </c>
      <c r="M86" s="261">
        <f t="shared" si="14"/>
        <v>0</v>
      </c>
      <c r="N86" s="234">
        <v>81500</v>
      </c>
      <c r="O86" s="234">
        <f t="shared" si="10"/>
        <v>0</v>
      </c>
      <c r="P86" s="143">
        <v>122142.85714285714</v>
      </c>
      <c r="Q86" s="261">
        <f t="shared" si="15"/>
        <v>1428.5714285714203</v>
      </c>
      <c r="R86" s="281">
        <v>81500</v>
      </c>
      <c r="S86" s="234">
        <f t="shared" si="16"/>
        <v>0</v>
      </c>
      <c r="T86" s="22">
        <v>122142.85714285714</v>
      </c>
      <c r="U86" s="261">
        <f t="shared" si="17"/>
        <v>0</v>
      </c>
      <c r="V86" s="281">
        <v>81500</v>
      </c>
      <c r="W86" s="234">
        <f t="shared" si="18"/>
        <v>0</v>
      </c>
      <c r="X86" s="22">
        <v>122142.85714285714</v>
      </c>
      <c r="Y86" s="261">
        <f t="shared" si="19"/>
        <v>0</v>
      </c>
    </row>
    <row r="87" spans="1:25">
      <c r="A87" s="2"/>
      <c r="B87" s="2">
        <v>83</v>
      </c>
      <c r="C87" s="194" t="s">
        <v>126</v>
      </c>
      <c r="D87" s="234">
        <v>86500</v>
      </c>
      <c r="E87" s="143">
        <v>126428.57142857143</v>
      </c>
      <c r="F87">
        <v>86500</v>
      </c>
      <c r="G87" s="234">
        <f t="shared" si="11"/>
        <v>0</v>
      </c>
      <c r="H87">
        <v>126428.57142857143</v>
      </c>
      <c r="I87" s="261">
        <f t="shared" si="12"/>
        <v>0</v>
      </c>
      <c r="J87">
        <v>86500</v>
      </c>
      <c r="K87" s="234">
        <f t="shared" si="13"/>
        <v>0</v>
      </c>
      <c r="L87" s="143">
        <v>126428.57142857143</v>
      </c>
      <c r="M87" s="261">
        <f t="shared" si="14"/>
        <v>0</v>
      </c>
      <c r="N87" s="234">
        <v>86500</v>
      </c>
      <c r="O87" s="234">
        <f t="shared" si="10"/>
        <v>0</v>
      </c>
      <c r="P87" s="143">
        <v>126428.57142857143</v>
      </c>
      <c r="Q87" s="261">
        <f t="shared" si="15"/>
        <v>0</v>
      </c>
      <c r="R87" s="281">
        <v>86500</v>
      </c>
      <c r="S87" s="234">
        <f t="shared" si="16"/>
        <v>0</v>
      </c>
      <c r="T87" s="22">
        <v>126428.57142857143</v>
      </c>
      <c r="U87" s="261">
        <f t="shared" si="17"/>
        <v>0</v>
      </c>
      <c r="V87" s="281">
        <v>86500</v>
      </c>
      <c r="W87" s="234">
        <f t="shared" si="18"/>
        <v>0</v>
      </c>
      <c r="X87" s="22">
        <v>126428.57142857143</v>
      </c>
      <c r="Y87" s="261">
        <f t="shared" si="19"/>
        <v>0</v>
      </c>
    </row>
    <row r="88" spans="1:25">
      <c r="A88" s="2"/>
      <c r="B88" s="71">
        <v>84</v>
      </c>
      <c r="C88" s="194" t="s">
        <v>127</v>
      </c>
      <c r="D88" s="234">
        <v>81500</v>
      </c>
      <c r="E88" s="143">
        <v>117857.14285714287</v>
      </c>
      <c r="F88">
        <v>81500</v>
      </c>
      <c r="G88" s="234">
        <f t="shared" si="11"/>
        <v>0</v>
      </c>
      <c r="H88">
        <v>120714.28571428572</v>
      </c>
      <c r="I88" s="261">
        <f t="shared" si="12"/>
        <v>2857.1428571428551</v>
      </c>
      <c r="J88">
        <v>81500</v>
      </c>
      <c r="K88" s="234">
        <f t="shared" si="13"/>
        <v>0</v>
      </c>
      <c r="L88" s="143">
        <v>120714.28571428572</v>
      </c>
      <c r="M88" s="261">
        <f t="shared" si="14"/>
        <v>0</v>
      </c>
      <c r="N88" s="234">
        <v>81500</v>
      </c>
      <c r="O88" s="234">
        <f t="shared" si="10"/>
        <v>0</v>
      </c>
      <c r="P88" s="143">
        <v>122142.85714285714</v>
      </c>
      <c r="Q88" s="261">
        <f t="shared" si="15"/>
        <v>1428.5714285714203</v>
      </c>
      <c r="R88" s="281">
        <v>81500</v>
      </c>
      <c r="S88" s="234">
        <f t="shared" si="16"/>
        <v>0</v>
      </c>
      <c r="T88" s="22">
        <v>122142.85714285714</v>
      </c>
      <c r="U88" s="261">
        <f t="shared" si="17"/>
        <v>0</v>
      </c>
      <c r="V88" s="281">
        <v>81500</v>
      </c>
      <c r="W88" s="234">
        <f t="shared" si="18"/>
        <v>0</v>
      </c>
      <c r="X88" s="22">
        <v>122142.85714285714</v>
      </c>
      <c r="Y88" s="261">
        <f t="shared" si="19"/>
        <v>0</v>
      </c>
    </row>
    <row r="89" spans="1:25">
      <c r="A89" s="2"/>
      <c r="B89" s="71">
        <v>85</v>
      </c>
      <c r="C89" s="194" t="s">
        <v>128</v>
      </c>
      <c r="D89" s="234">
        <v>86500</v>
      </c>
      <c r="E89" s="143">
        <v>126428.57142857143</v>
      </c>
      <c r="F89">
        <v>86500</v>
      </c>
      <c r="G89" s="234">
        <f t="shared" si="11"/>
        <v>0</v>
      </c>
      <c r="H89">
        <v>126428.57142857143</v>
      </c>
      <c r="I89" s="261">
        <f t="shared" si="12"/>
        <v>0</v>
      </c>
      <c r="J89">
        <v>86500</v>
      </c>
      <c r="K89" s="234">
        <f t="shared" si="13"/>
        <v>0</v>
      </c>
      <c r="L89" s="143">
        <v>126428.57142857143</v>
      </c>
      <c r="M89" s="261">
        <f t="shared" si="14"/>
        <v>0</v>
      </c>
      <c r="N89" s="234">
        <v>86500</v>
      </c>
      <c r="O89" s="234">
        <f t="shared" si="10"/>
        <v>0</v>
      </c>
      <c r="P89" s="143">
        <v>126428.57142857143</v>
      </c>
      <c r="Q89" s="261">
        <f t="shared" si="15"/>
        <v>0</v>
      </c>
      <c r="R89" s="281">
        <v>86500</v>
      </c>
      <c r="S89" s="234">
        <f t="shared" si="16"/>
        <v>0</v>
      </c>
      <c r="T89" s="22">
        <v>126428.57142857143</v>
      </c>
      <c r="U89" s="261">
        <f t="shared" si="17"/>
        <v>0</v>
      </c>
      <c r="V89" s="281">
        <v>86500</v>
      </c>
      <c r="W89" s="234">
        <f t="shared" si="18"/>
        <v>0</v>
      </c>
      <c r="X89" s="22">
        <v>126428.57142857143</v>
      </c>
      <c r="Y89" s="261">
        <f t="shared" si="19"/>
        <v>0</v>
      </c>
    </row>
    <row r="90" spans="1:25">
      <c r="A90" s="2"/>
      <c r="B90" s="2">
        <v>86</v>
      </c>
      <c r="C90" s="194" t="s">
        <v>129</v>
      </c>
      <c r="D90" s="234">
        <v>81500</v>
      </c>
      <c r="E90" s="143">
        <v>117857.14285714287</v>
      </c>
      <c r="F90">
        <v>81500</v>
      </c>
      <c r="G90" s="234">
        <f t="shared" si="11"/>
        <v>0</v>
      </c>
      <c r="H90">
        <v>120714.28571428572</v>
      </c>
      <c r="I90" s="261">
        <f t="shared" si="12"/>
        <v>2857.1428571428551</v>
      </c>
      <c r="J90">
        <v>81500</v>
      </c>
      <c r="K90" s="234">
        <f t="shared" si="13"/>
        <v>0</v>
      </c>
      <c r="L90" s="143">
        <v>120714.28571428572</v>
      </c>
      <c r="M90" s="261">
        <f t="shared" si="14"/>
        <v>0</v>
      </c>
      <c r="N90" s="234">
        <v>81500</v>
      </c>
      <c r="O90" s="234">
        <f t="shared" si="10"/>
        <v>0</v>
      </c>
      <c r="P90" s="143">
        <v>122142.85714285714</v>
      </c>
      <c r="Q90" s="261">
        <f t="shared" si="15"/>
        <v>1428.5714285714203</v>
      </c>
      <c r="R90" s="281">
        <v>81500</v>
      </c>
      <c r="S90" s="234">
        <f t="shared" si="16"/>
        <v>0</v>
      </c>
      <c r="T90" s="22">
        <v>122142.85714285714</v>
      </c>
      <c r="U90" s="261">
        <f t="shared" si="17"/>
        <v>0</v>
      </c>
      <c r="V90" s="281">
        <v>81500</v>
      </c>
      <c r="W90" s="234">
        <f t="shared" si="18"/>
        <v>0</v>
      </c>
      <c r="X90" s="22">
        <v>122142.85714285714</v>
      </c>
      <c r="Y90" s="261">
        <f t="shared" si="19"/>
        <v>0</v>
      </c>
    </row>
    <row r="91" spans="1:25">
      <c r="A91" s="2"/>
      <c r="B91" s="71">
        <v>87</v>
      </c>
      <c r="C91" s="203" t="s">
        <v>635</v>
      </c>
      <c r="D91" s="234">
        <v>43200</v>
      </c>
      <c r="E91" s="143">
        <v>64571.428571428572</v>
      </c>
      <c r="F91">
        <v>43200</v>
      </c>
      <c r="G91" s="234">
        <f t="shared" si="11"/>
        <v>0</v>
      </c>
      <c r="H91">
        <v>64571.428571428572</v>
      </c>
      <c r="I91" s="261">
        <f t="shared" si="12"/>
        <v>0</v>
      </c>
      <c r="J91">
        <v>43200</v>
      </c>
      <c r="K91" s="234">
        <f t="shared" si="13"/>
        <v>0</v>
      </c>
      <c r="L91" s="143">
        <v>64571.428571428572</v>
      </c>
      <c r="M91" s="261">
        <f t="shared" si="14"/>
        <v>0</v>
      </c>
      <c r="N91" s="234">
        <v>43200</v>
      </c>
      <c r="O91" s="234">
        <f t="shared" si="10"/>
        <v>0</v>
      </c>
      <c r="P91" s="143">
        <v>63142.857142857145</v>
      </c>
      <c r="Q91" s="261">
        <f t="shared" si="15"/>
        <v>-1428.5714285714275</v>
      </c>
      <c r="R91" s="281">
        <v>43200</v>
      </c>
      <c r="S91" s="234">
        <f t="shared" si="16"/>
        <v>0</v>
      </c>
      <c r="T91" s="22">
        <v>63142.857142857145</v>
      </c>
      <c r="U91" s="261">
        <f t="shared" si="17"/>
        <v>0</v>
      </c>
      <c r="V91" s="281">
        <v>43200</v>
      </c>
      <c r="W91" s="234">
        <f t="shared" si="18"/>
        <v>0</v>
      </c>
      <c r="X91" s="22">
        <v>63142.857142857145</v>
      </c>
      <c r="Y91" s="261">
        <f t="shared" si="19"/>
        <v>0</v>
      </c>
    </row>
    <row r="92" spans="1:25">
      <c r="A92" s="2"/>
      <c r="B92" s="71">
        <v>88</v>
      </c>
      <c r="C92" s="203" t="s">
        <v>636</v>
      </c>
      <c r="D92" s="234">
        <v>66350</v>
      </c>
      <c r="E92" s="143">
        <v>97642.857142857145</v>
      </c>
      <c r="F92">
        <v>66350</v>
      </c>
      <c r="G92" s="234">
        <f t="shared" si="11"/>
        <v>0</v>
      </c>
      <c r="H92">
        <v>97642.857142857145</v>
      </c>
      <c r="I92" s="261">
        <f t="shared" si="12"/>
        <v>0</v>
      </c>
      <c r="J92">
        <v>66350</v>
      </c>
      <c r="K92" s="234">
        <f t="shared" si="13"/>
        <v>0</v>
      </c>
      <c r="L92" s="143">
        <v>97642.857142857145</v>
      </c>
      <c r="M92" s="261">
        <f t="shared" si="14"/>
        <v>0</v>
      </c>
      <c r="N92" s="234">
        <v>66350</v>
      </c>
      <c r="O92" s="234">
        <f t="shared" si="10"/>
        <v>0</v>
      </c>
      <c r="P92" s="143">
        <v>96214.285714285725</v>
      </c>
      <c r="Q92" s="261">
        <f t="shared" si="15"/>
        <v>-1428.5714285714203</v>
      </c>
      <c r="R92" s="281">
        <v>66350</v>
      </c>
      <c r="S92" s="234">
        <f t="shared" si="16"/>
        <v>0</v>
      </c>
      <c r="T92" s="22">
        <v>96214.285714285725</v>
      </c>
      <c r="U92" s="261">
        <f t="shared" si="17"/>
        <v>0</v>
      </c>
      <c r="V92" s="281">
        <v>66350</v>
      </c>
      <c r="W92" s="234">
        <f t="shared" si="18"/>
        <v>0</v>
      </c>
      <c r="X92" s="22">
        <v>96214.285714285725</v>
      </c>
      <c r="Y92" s="261">
        <f t="shared" si="19"/>
        <v>0</v>
      </c>
    </row>
    <row r="93" spans="1:25">
      <c r="A93" s="2"/>
      <c r="B93" s="2">
        <v>89</v>
      </c>
      <c r="C93" s="195" t="s">
        <v>131</v>
      </c>
      <c r="D93" s="234">
        <v>53000</v>
      </c>
      <c r="E93" s="143">
        <v>78571.42857142858</v>
      </c>
      <c r="F93">
        <v>53000</v>
      </c>
      <c r="G93" s="234">
        <f t="shared" si="11"/>
        <v>0</v>
      </c>
      <c r="H93">
        <v>78571.42857142858</v>
      </c>
      <c r="I93" s="261">
        <f t="shared" si="12"/>
        <v>0</v>
      </c>
      <c r="J93">
        <v>53000</v>
      </c>
      <c r="K93" s="234">
        <f t="shared" si="13"/>
        <v>0</v>
      </c>
      <c r="L93" s="143">
        <v>78571.42857142858</v>
      </c>
      <c r="M93" s="261">
        <f t="shared" si="14"/>
        <v>0</v>
      </c>
      <c r="N93" s="234">
        <v>53000</v>
      </c>
      <c r="O93" s="234">
        <f t="shared" si="10"/>
        <v>0</v>
      </c>
      <c r="P93" s="143">
        <v>77142.857142857145</v>
      </c>
      <c r="Q93" s="261">
        <f t="shared" si="15"/>
        <v>-1428.5714285714348</v>
      </c>
      <c r="R93" s="281">
        <v>53000</v>
      </c>
      <c r="S93" s="234">
        <f t="shared" si="16"/>
        <v>0</v>
      </c>
      <c r="T93" s="22">
        <v>77142.857142857145</v>
      </c>
      <c r="U93" s="261">
        <f t="shared" si="17"/>
        <v>0</v>
      </c>
      <c r="V93" s="281">
        <v>53000</v>
      </c>
      <c r="W93" s="234">
        <f t="shared" si="18"/>
        <v>0</v>
      </c>
      <c r="X93" s="22">
        <v>77142.857142857145</v>
      </c>
      <c r="Y93" s="261">
        <f t="shared" si="19"/>
        <v>0</v>
      </c>
    </row>
    <row r="94" spans="1:25">
      <c r="A94" s="2"/>
      <c r="B94" s="71">
        <v>90</v>
      </c>
      <c r="C94" s="195" t="s">
        <v>132</v>
      </c>
      <c r="D94" s="234">
        <v>50700</v>
      </c>
      <c r="E94" s="143">
        <v>75285.71428571429</v>
      </c>
      <c r="F94">
        <v>50700</v>
      </c>
      <c r="G94" s="234">
        <f t="shared" si="11"/>
        <v>0</v>
      </c>
      <c r="H94">
        <v>75285.71428571429</v>
      </c>
      <c r="I94" s="261">
        <f t="shared" si="12"/>
        <v>0</v>
      </c>
      <c r="J94">
        <v>50700</v>
      </c>
      <c r="K94" s="234">
        <f t="shared" si="13"/>
        <v>0</v>
      </c>
      <c r="L94" s="143">
        <v>75285.71428571429</v>
      </c>
      <c r="M94" s="261">
        <f t="shared" si="14"/>
        <v>0</v>
      </c>
      <c r="N94" s="234">
        <v>50700</v>
      </c>
      <c r="O94" s="234">
        <f t="shared" si="10"/>
        <v>0</v>
      </c>
      <c r="P94" s="143">
        <v>73857.142857142855</v>
      </c>
      <c r="Q94" s="261">
        <f t="shared" si="15"/>
        <v>-1428.5714285714348</v>
      </c>
      <c r="R94" s="281">
        <v>50700</v>
      </c>
      <c r="S94" s="234">
        <f t="shared" si="16"/>
        <v>0</v>
      </c>
      <c r="T94" s="22">
        <v>73857.142857142855</v>
      </c>
      <c r="U94" s="261">
        <f t="shared" si="17"/>
        <v>0</v>
      </c>
      <c r="V94" s="281">
        <v>50700</v>
      </c>
      <c r="W94" s="234">
        <f t="shared" si="18"/>
        <v>0</v>
      </c>
      <c r="X94" s="22">
        <v>73857.142857142855</v>
      </c>
      <c r="Y94" s="261">
        <f t="shared" si="19"/>
        <v>0</v>
      </c>
    </row>
    <row r="95" spans="1:25">
      <c r="A95" s="2"/>
      <c r="B95" s="71">
        <v>91</v>
      </c>
      <c r="C95" s="195" t="s">
        <v>133</v>
      </c>
      <c r="D95" s="234">
        <v>50700</v>
      </c>
      <c r="E95" s="143">
        <v>75285.71428571429</v>
      </c>
      <c r="F95">
        <v>50700</v>
      </c>
      <c r="G95" s="234">
        <f t="shared" si="11"/>
        <v>0</v>
      </c>
      <c r="H95">
        <v>75285.71428571429</v>
      </c>
      <c r="I95" s="261">
        <f t="shared" si="12"/>
        <v>0</v>
      </c>
      <c r="J95">
        <v>50700</v>
      </c>
      <c r="K95" s="234">
        <f t="shared" si="13"/>
        <v>0</v>
      </c>
      <c r="L95" s="143">
        <v>75285.71428571429</v>
      </c>
      <c r="M95" s="261">
        <f t="shared" si="14"/>
        <v>0</v>
      </c>
      <c r="N95" s="234">
        <v>50700</v>
      </c>
      <c r="O95" s="234">
        <f t="shared" ref="O95:O133" si="20">N95-J95</f>
        <v>0</v>
      </c>
      <c r="P95" s="143">
        <v>73857.142857142855</v>
      </c>
      <c r="Q95" s="261">
        <f t="shared" si="15"/>
        <v>-1428.5714285714348</v>
      </c>
      <c r="R95" s="281">
        <v>50700</v>
      </c>
      <c r="S95" s="234">
        <f t="shared" si="16"/>
        <v>0</v>
      </c>
      <c r="T95" s="22">
        <v>73857.142857142855</v>
      </c>
      <c r="U95" s="261">
        <f t="shared" si="17"/>
        <v>0</v>
      </c>
      <c r="V95" s="281">
        <v>50700</v>
      </c>
      <c r="W95" s="234">
        <f t="shared" si="18"/>
        <v>0</v>
      </c>
      <c r="X95" s="22">
        <v>73857.142857142855</v>
      </c>
      <c r="Y95" s="261">
        <f t="shared" si="19"/>
        <v>0</v>
      </c>
    </row>
    <row r="96" spans="1:25">
      <c r="A96" s="2"/>
      <c r="B96" s="2">
        <v>92</v>
      </c>
      <c r="C96" s="195" t="s">
        <v>134</v>
      </c>
      <c r="D96" s="234">
        <v>56200</v>
      </c>
      <c r="E96" s="143">
        <v>83142.857142857145</v>
      </c>
      <c r="F96">
        <v>56200</v>
      </c>
      <c r="G96" s="234">
        <f t="shared" si="11"/>
        <v>0</v>
      </c>
      <c r="H96">
        <v>83142.857142857145</v>
      </c>
      <c r="I96" s="261">
        <f t="shared" si="12"/>
        <v>0</v>
      </c>
      <c r="J96">
        <v>56200</v>
      </c>
      <c r="K96" s="234">
        <f t="shared" si="13"/>
        <v>0</v>
      </c>
      <c r="L96" s="143">
        <v>83142.857142857145</v>
      </c>
      <c r="M96" s="261">
        <f t="shared" si="14"/>
        <v>0</v>
      </c>
      <c r="N96" s="234">
        <v>56200</v>
      </c>
      <c r="O96" s="234">
        <f t="shared" si="20"/>
        <v>0</v>
      </c>
      <c r="P96" s="143">
        <v>81714.285714285725</v>
      </c>
      <c r="Q96" s="261">
        <f t="shared" si="15"/>
        <v>-1428.5714285714203</v>
      </c>
      <c r="R96" s="281">
        <v>56200</v>
      </c>
      <c r="S96" s="234">
        <f t="shared" si="16"/>
        <v>0</v>
      </c>
      <c r="T96" s="22">
        <v>81714.285714285725</v>
      </c>
      <c r="U96" s="261">
        <f t="shared" si="17"/>
        <v>0</v>
      </c>
      <c r="V96" s="281">
        <v>56200</v>
      </c>
      <c r="W96" s="234">
        <f t="shared" si="18"/>
        <v>0</v>
      </c>
      <c r="X96" s="22">
        <v>81714.285714285725</v>
      </c>
      <c r="Y96" s="261">
        <f t="shared" si="19"/>
        <v>0</v>
      </c>
    </row>
    <row r="97" spans="1:25">
      <c r="A97" s="2"/>
      <c r="B97" s="71">
        <v>93</v>
      </c>
      <c r="C97" s="194" t="s">
        <v>135</v>
      </c>
      <c r="D97" s="234">
        <v>95000</v>
      </c>
      <c r="E97" s="143">
        <v>134285.71428571429</v>
      </c>
      <c r="F97">
        <v>95000</v>
      </c>
      <c r="G97" s="234">
        <f t="shared" si="11"/>
        <v>0</v>
      </c>
      <c r="H97">
        <v>135714.28571428571</v>
      </c>
      <c r="I97" s="261">
        <f t="shared" si="12"/>
        <v>1428.5714285714203</v>
      </c>
      <c r="J97">
        <v>95000</v>
      </c>
      <c r="K97" s="234">
        <f t="shared" si="13"/>
        <v>0</v>
      </c>
      <c r="L97" s="143">
        <v>135714.28571428571</v>
      </c>
      <c r="M97" s="261">
        <f t="shared" si="14"/>
        <v>0</v>
      </c>
      <c r="N97" s="234">
        <v>95000</v>
      </c>
      <c r="O97" s="234">
        <f t="shared" si="20"/>
        <v>0</v>
      </c>
      <c r="P97" s="143">
        <v>135714.28571428571</v>
      </c>
      <c r="Q97" s="261">
        <f t="shared" si="15"/>
        <v>0</v>
      </c>
      <c r="R97" s="281">
        <v>95000</v>
      </c>
      <c r="S97" s="234">
        <f t="shared" si="16"/>
        <v>0</v>
      </c>
      <c r="T97" s="22">
        <v>135714.28571428571</v>
      </c>
      <c r="U97" s="261">
        <f t="shared" si="17"/>
        <v>0</v>
      </c>
      <c r="V97" s="281">
        <v>95000</v>
      </c>
      <c r="W97" s="234">
        <f t="shared" si="18"/>
        <v>0</v>
      </c>
      <c r="X97" s="22">
        <v>135714.28571428571</v>
      </c>
      <c r="Y97" s="261">
        <f t="shared" si="19"/>
        <v>0</v>
      </c>
    </row>
    <row r="98" spans="1:25">
      <c r="A98" s="2"/>
      <c r="B98" s="71">
        <v>94</v>
      </c>
      <c r="C98" s="194" t="s">
        <v>136</v>
      </c>
      <c r="D98" s="234">
        <v>75000</v>
      </c>
      <c r="E98" s="143">
        <v>105714.28571428572</v>
      </c>
      <c r="F98">
        <v>75000</v>
      </c>
      <c r="G98" s="234">
        <f t="shared" si="11"/>
        <v>0</v>
      </c>
      <c r="H98">
        <v>107142.85714285714</v>
      </c>
      <c r="I98" s="261">
        <f t="shared" si="12"/>
        <v>1428.5714285714203</v>
      </c>
      <c r="J98">
        <v>75000</v>
      </c>
      <c r="K98" s="234">
        <f t="shared" si="13"/>
        <v>0</v>
      </c>
      <c r="L98" s="143">
        <v>107142.85714285714</v>
      </c>
      <c r="M98" s="261">
        <f t="shared" si="14"/>
        <v>0</v>
      </c>
      <c r="N98" s="234">
        <v>75000</v>
      </c>
      <c r="O98" s="234">
        <f t="shared" si="20"/>
        <v>0</v>
      </c>
      <c r="P98" s="143">
        <v>107142.85714285714</v>
      </c>
      <c r="Q98" s="261">
        <f t="shared" si="15"/>
        <v>0</v>
      </c>
      <c r="R98" s="281">
        <v>75000</v>
      </c>
      <c r="S98" s="234">
        <f t="shared" si="16"/>
        <v>0</v>
      </c>
      <c r="T98" s="22">
        <v>107142.85714285714</v>
      </c>
      <c r="U98" s="261">
        <f t="shared" si="17"/>
        <v>0</v>
      </c>
      <c r="V98" s="281">
        <v>75000</v>
      </c>
      <c r="W98" s="234">
        <f t="shared" si="18"/>
        <v>0</v>
      </c>
      <c r="X98" s="22">
        <v>107142.85714285714</v>
      </c>
      <c r="Y98" s="261">
        <f t="shared" si="19"/>
        <v>0</v>
      </c>
    </row>
    <row r="99" spans="1:25">
      <c r="A99" s="2"/>
      <c r="B99" s="2">
        <v>95</v>
      </c>
      <c r="C99" s="203" t="s">
        <v>637</v>
      </c>
      <c r="D99" s="234">
        <v>89050</v>
      </c>
      <c r="E99" s="143">
        <v>128642.85714285714</v>
      </c>
      <c r="F99">
        <v>89050</v>
      </c>
      <c r="G99" s="234">
        <f t="shared" si="11"/>
        <v>0</v>
      </c>
      <c r="H99">
        <v>128642.85714285714</v>
      </c>
      <c r="I99" s="261">
        <f t="shared" si="12"/>
        <v>0</v>
      </c>
      <c r="J99">
        <v>89050</v>
      </c>
      <c r="K99" s="234">
        <f t="shared" si="13"/>
        <v>0</v>
      </c>
      <c r="L99" s="143">
        <v>128642.85714285714</v>
      </c>
      <c r="M99" s="261">
        <f t="shared" si="14"/>
        <v>0</v>
      </c>
      <c r="N99" s="234">
        <v>89050</v>
      </c>
      <c r="O99" s="234">
        <f t="shared" si="20"/>
        <v>0</v>
      </c>
      <c r="P99" s="143">
        <v>127214.28571428572</v>
      </c>
      <c r="Q99" s="261">
        <f t="shared" si="15"/>
        <v>-1428.5714285714203</v>
      </c>
      <c r="R99" s="281">
        <v>89050</v>
      </c>
      <c r="S99" s="234">
        <f t="shared" si="16"/>
        <v>0</v>
      </c>
      <c r="T99" s="22">
        <v>127214.28571428572</v>
      </c>
      <c r="U99" s="261">
        <f t="shared" si="17"/>
        <v>0</v>
      </c>
      <c r="V99" s="281">
        <v>89050</v>
      </c>
      <c r="W99" s="234">
        <f t="shared" si="18"/>
        <v>0</v>
      </c>
      <c r="X99" s="22">
        <v>127214.28571428572</v>
      </c>
      <c r="Y99" s="261">
        <f t="shared" si="19"/>
        <v>0</v>
      </c>
    </row>
    <row r="100" spans="1:25">
      <c r="A100" s="2"/>
      <c r="B100" s="71">
        <v>96</v>
      </c>
      <c r="C100" s="203" t="s">
        <v>638</v>
      </c>
      <c r="D100" s="234">
        <v>91650</v>
      </c>
      <c r="E100" s="143">
        <v>132357.14285714287</v>
      </c>
      <c r="F100">
        <v>91650</v>
      </c>
      <c r="G100" s="234">
        <f t="shared" si="11"/>
        <v>0</v>
      </c>
      <c r="H100">
        <v>132357.14285714287</v>
      </c>
      <c r="I100" s="261">
        <f t="shared" si="12"/>
        <v>0</v>
      </c>
      <c r="J100">
        <v>91650</v>
      </c>
      <c r="K100" s="234">
        <f t="shared" si="13"/>
        <v>0</v>
      </c>
      <c r="L100" s="143">
        <v>132357.14285714287</v>
      </c>
      <c r="M100" s="261">
        <f t="shared" si="14"/>
        <v>0</v>
      </c>
      <c r="N100" s="234">
        <v>91650</v>
      </c>
      <c r="O100" s="234">
        <f t="shared" si="20"/>
        <v>0</v>
      </c>
      <c r="P100" s="143">
        <v>132357.14285714287</v>
      </c>
      <c r="Q100" s="261">
        <f t="shared" si="15"/>
        <v>0</v>
      </c>
      <c r="R100" s="281">
        <v>91650</v>
      </c>
      <c r="S100" s="234">
        <f t="shared" si="16"/>
        <v>0</v>
      </c>
      <c r="T100" s="22">
        <v>132357.14285714287</v>
      </c>
      <c r="U100" s="261">
        <f t="shared" si="17"/>
        <v>0</v>
      </c>
      <c r="V100" s="281">
        <v>91650</v>
      </c>
      <c r="W100" s="234">
        <f t="shared" si="18"/>
        <v>0</v>
      </c>
      <c r="X100" s="22">
        <v>132357.14285714287</v>
      </c>
      <c r="Y100" s="261">
        <f t="shared" si="19"/>
        <v>0</v>
      </c>
    </row>
    <row r="101" spans="1:25">
      <c r="A101" s="2"/>
      <c r="B101" s="71">
        <v>97</v>
      </c>
      <c r="C101" s="195" t="s">
        <v>138</v>
      </c>
      <c r="D101" s="234">
        <v>83000</v>
      </c>
      <c r="E101" s="143">
        <v>121428.57142857143</v>
      </c>
      <c r="F101">
        <v>83000</v>
      </c>
      <c r="G101" s="234">
        <f t="shared" si="11"/>
        <v>0</v>
      </c>
      <c r="H101">
        <v>121428.57142857143</v>
      </c>
      <c r="I101" s="261">
        <f t="shared" si="12"/>
        <v>0</v>
      </c>
      <c r="J101">
        <v>83000</v>
      </c>
      <c r="K101" s="234">
        <f t="shared" si="13"/>
        <v>0</v>
      </c>
      <c r="L101" s="143">
        <v>121428.57142857143</v>
      </c>
      <c r="M101" s="261">
        <f t="shared" si="14"/>
        <v>0</v>
      </c>
      <c r="N101" s="234">
        <v>83000</v>
      </c>
      <c r="O101" s="234">
        <f t="shared" si="20"/>
        <v>0</v>
      </c>
      <c r="P101" s="143">
        <v>121428.57142857143</v>
      </c>
      <c r="Q101" s="261">
        <f t="shared" si="15"/>
        <v>0</v>
      </c>
      <c r="R101" s="281">
        <v>83000</v>
      </c>
      <c r="S101" s="234">
        <f t="shared" si="16"/>
        <v>0</v>
      </c>
      <c r="T101" s="22">
        <v>121428.57142857143</v>
      </c>
      <c r="U101" s="261">
        <f t="shared" si="17"/>
        <v>0</v>
      </c>
      <c r="V101" s="281">
        <v>83000</v>
      </c>
      <c r="W101" s="234">
        <f t="shared" si="18"/>
        <v>0</v>
      </c>
      <c r="X101" s="22">
        <v>121428.57142857143</v>
      </c>
      <c r="Y101" s="261">
        <f t="shared" si="19"/>
        <v>0</v>
      </c>
    </row>
    <row r="102" spans="1:25">
      <c r="A102" s="2"/>
      <c r="B102" s="2">
        <v>98</v>
      </c>
      <c r="C102" s="195" t="s">
        <v>139</v>
      </c>
      <c r="D102" s="234">
        <v>88650</v>
      </c>
      <c r="E102" s="143">
        <v>129500.00000000001</v>
      </c>
      <c r="F102">
        <v>88650</v>
      </c>
      <c r="G102" s="234">
        <f t="shared" si="11"/>
        <v>0</v>
      </c>
      <c r="H102">
        <v>129500.00000000001</v>
      </c>
      <c r="I102" s="261">
        <f t="shared" si="12"/>
        <v>0</v>
      </c>
      <c r="J102">
        <v>88650</v>
      </c>
      <c r="K102" s="234">
        <f t="shared" si="13"/>
        <v>0</v>
      </c>
      <c r="L102" s="143">
        <v>129500.00000000001</v>
      </c>
      <c r="M102" s="261">
        <f t="shared" si="14"/>
        <v>0</v>
      </c>
      <c r="N102" s="234">
        <v>88650</v>
      </c>
      <c r="O102" s="234">
        <f t="shared" si="20"/>
        <v>0</v>
      </c>
      <c r="P102" s="143">
        <v>129500.00000000001</v>
      </c>
      <c r="Q102" s="261">
        <f t="shared" si="15"/>
        <v>0</v>
      </c>
      <c r="R102" s="281">
        <v>88650</v>
      </c>
      <c r="S102" s="234">
        <f t="shared" si="16"/>
        <v>0</v>
      </c>
      <c r="T102" s="22">
        <v>129500.00000000001</v>
      </c>
      <c r="U102" s="261">
        <f t="shared" si="17"/>
        <v>0</v>
      </c>
      <c r="V102" s="281">
        <v>88650</v>
      </c>
      <c r="W102" s="234">
        <f t="shared" si="18"/>
        <v>0</v>
      </c>
      <c r="X102" s="22">
        <v>129500.00000000001</v>
      </c>
      <c r="Y102" s="261">
        <f t="shared" si="19"/>
        <v>0</v>
      </c>
    </row>
    <row r="103" spans="1:25">
      <c r="A103" s="2"/>
      <c r="B103" s="71">
        <v>99</v>
      </c>
      <c r="C103" s="203" t="s">
        <v>639</v>
      </c>
      <c r="D103" s="234">
        <v>85650</v>
      </c>
      <c r="E103" s="143">
        <v>123785.71428571429</v>
      </c>
      <c r="F103">
        <v>85650</v>
      </c>
      <c r="G103" s="234">
        <f t="shared" si="11"/>
        <v>0</v>
      </c>
      <c r="H103">
        <v>123785.71428571429</v>
      </c>
      <c r="I103" s="261">
        <f t="shared" si="12"/>
        <v>0</v>
      </c>
      <c r="J103">
        <v>85650</v>
      </c>
      <c r="K103" s="234">
        <f t="shared" si="13"/>
        <v>0</v>
      </c>
      <c r="L103" s="143">
        <v>123785.71428571429</v>
      </c>
      <c r="M103" s="261">
        <f t="shared" si="14"/>
        <v>0</v>
      </c>
      <c r="N103" s="234">
        <v>85650</v>
      </c>
      <c r="O103" s="234">
        <f t="shared" si="20"/>
        <v>0</v>
      </c>
      <c r="P103" s="143">
        <v>123785.71428571429</v>
      </c>
      <c r="Q103" s="261">
        <f t="shared" si="15"/>
        <v>0</v>
      </c>
      <c r="R103" s="281">
        <v>85650</v>
      </c>
      <c r="S103" s="234">
        <f t="shared" si="16"/>
        <v>0</v>
      </c>
      <c r="T103" s="22">
        <v>123785.71428571429</v>
      </c>
      <c r="U103" s="261">
        <f t="shared" si="17"/>
        <v>0</v>
      </c>
      <c r="V103" s="281">
        <v>85650</v>
      </c>
      <c r="W103" s="234">
        <f t="shared" si="18"/>
        <v>0</v>
      </c>
      <c r="X103" s="22">
        <v>123785.71428571429</v>
      </c>
      <c r="Y103" s="261">
        <f t="shared" si="19"/>
        <v>0</v>
      </c>
    </row>
    <row r="104" spans="1:25">
      <c r="A104" s="2"/>
      <c r="B104" s="71">
        <v>100</v>
      </c>
      <c r="C104" s="196" t="s">
        <v>140</v>
      </c>
      <c r="D104" s="234">
        <v>76950</v>
      </c>
      <c r="E104" s="143">
        <v>112785.71428571429</v>
      </c>
      <c r="F104">
        <v>76950</v>
      </c>
      <c r="G104" s="234">
        <f t="shared" si="11"/>
        <v>0</v>
      </c>
      <c r="H104">
        <v>112785.71428571429</v>
      </c>
      <c r="I104" s="261">
        <f t="shared" si="12"/>
        <v>0</v>
      </c>
      <c r="J104">
        <v>76950</v>
      </c>
      <c r="K104" s="234">
        <f t="shared" si="13"/>
        <v>0</v>
      </c>
      <c r="L104" s="143">
        <v>112785.71428571429</v>
      </c>
      <c r="M104" s="261">
        <f t="shared" si="14"/>
        <v>0</v>
      </c>
      <c r="N104" s="234">
        <v>76950</v>
      </c>
      <c r="O104" s="234">
        <f t="shared" si="20"/>
        <v>0</v>
      </c>
      <c r="P104" s="143">
        <v>112785.71428571429</v>
      </c>
      <c r="Q104" s="261">
        <f t="shared" si="15"/>
        <v>0</v>
      </c>
      <c r="R104" s="281">
        <v>76950</v>
      </c>
      <c r="S104" s="234">
        <f t="shared" si="16"/>
        <v>0</v>
      </c>
      <c r="T104" s="22">
        <v>112785.71428571429</v>
      </c>
      <c r="U104" s="261">
        <f t="shared" si="17"/>
        <v>0</v>
      </c>
      <c r="V104" s="281">
        <v>76950</v>
      </c>
      <c r="W104" s="234">
        <f t="shared" si="18"/>
        <v>0</v>
      </c>
      <c r="X104" s="22">
        <v>112785.71428571429</v>
      </c>
      <c r="Y104" s="261">
        <f t="shared" si="19"/>
        <v>0</v>
      </c>
    </row>
    <row r="105" spans="1:25">
      <c r="A105" s="2"/>
      <c r="B105" s="2">
        <v>101</v>
      </c>
      <c r="C105" s="199" t="s">
        <v>640</v>
      </c>
      <c r="D105" s="234">
        <v>85650</v>
      </c>
      <c r="E105" s="143">
        <v>123785.71428571429</v>
      </c>
      <c r="F105">
        <v>85650</v>
      </c>
      <c r="G105" s="234">
        <f t="shared" si="11"/>
        <v>0</v>
      </c>
      <c r="H105">
        <v>123785.71428571429</v>
      </c>
      <c r="I105" s="261">
        <f t="shared" si="12"/>
        <v>0</v>
      </c>
      <c r="J105">
        <v>85650</v>
      </c>
      <c r="K105" s="234">
        <f t="shared" si="13"/>
        <v>0</v>
      </c>
      <c r="L105" s="143">
        <v>123785.71428571429</v>
      </c>
      <c r="M105" s="261">
        <f t="shared" si="14"/>
        <v>0</v>
      </c>
      <c r="N105" s="234">
        <v>85650</v>
      </c>
      <c r="O105" s="234">
        <f t="shared" si="20"/>
        <v>0</v>
      </c>
      <c r="P105" s="143">
        <v>123785.71428571429</v>
      </c>
      <c r="Q105" s="261">
        <f t="shared" si="15"/>
        <v>0</v>
      </c>
      <c r="R105" s="281">
        <v>85650</v>
      </c>
      <c r="S105" s="234">
        <f t="shared" si="16"/>
        <v>0</v>
      </c>
      <c r="T105" s="22">
        <v>123785.71428571429</v>
      </c>
      <c r="U105" s="261">
        <f t="shared" si="17"/>
        <v>0</v>
      </c>
      <c r="V105" s="281">
        <v>85650</v>
      </c>
      <c r="W105" s="234">
        <f t="shared" si="18"/>
        <v>0</v>
      </c>
      <c r="X105" s="22">
        <v>123785.71428571429</v>
      </c>
      <c r="Y105" s="261">
        <f t="shared" si="19"/>
        <v>0</v>
      </c>
    </row>
    <row r="106" spans="1:25">
      <c r="A106" s="2"/>
      <c r="B106" s="71">
        <v>102</v>
      </c>
      <c r="C106" s="199" t="s">
        <v>641</v>
      </c>
      <c r="D106" s="234">
        <v>89600</v>
      </c>
      <c r="E106" s="143">
        <v>130857.14285714287</v>
      </c>
      <c r="F106">
        <v>89600</v>
      </c>
      <c r="G106" s="234">
        <f t="shared" si="11"/>
        <v>0</v>
      </c>
      <c r="H106">
        <v>130857.14285714287</v>
      </c>
      <c r="I106" s="261">
        <f t="shared" si="12"/>
        <v>0</v>
      </c>
      <c r="J106">
        <v>89600</v>
      </c>
      <c r="K106" s="234">
        <f t="shared" si="13"/>
        <v>0</v>
      </c>
      <c r="L106" s="143">
        <v>130857.14285714287</v>
      </c>
      <c r="M106" s="261">
        <f t="shared" si="14"/>
        <v>0</v>
      </c>
      <c r="N106" s="234">
        <v>89600</v>
      </c>
      <c r="O106" s="234">
        <f t="shared" si="20"/>
        <v>0</v>
      </c>
      <c r="P106" s="143">
        <v>129428.57142857143</v>
      </c>
      <c r="Q106" s="261">
        <f t="shared" si="15"/>
        <v>-1428.5714285714348</v>
      </c>
      <c r="R106" s="281">
        <v>89600</v>
      </c>
      <c r="S106" s="234">
        <f t="shared" si="16"/>
        <v>0</v>
      </c>
      <c r="T106" s="22">
        <v>129428.57142857143</v>
      </c>
      <c r="U106" s="261">
        <f t="shared" si="17"/>
        <v>0</v>
      </c>
      <c r="V106" s="281">
        <v>89600</v>
      </c>
      <c r="W106" s="234">
        <f t="shared" si="18"/>
        <v>0</v>
      </c>
      <c r="X106" s="22">
        <v>129428.57142857143</v>
      </c>
      <c r="Y106" s="261">
        <f t="shared" si="19"/>
        <v>0</v>
      </c>
    </row>
    <row r="107" spans="1:25">
      <c r="A107" s="2"/>
      <c r="B107" s="71">
        <v>103</v>
      </c>
      <c r="C107" s="196" t="s">
        <v>142</v>
      </c>
      <c r="D107" s="234">
        <v>82500</v>
      </c>
      <c r="E107" s="143">
        <v>120714.28571428572</v>
      </c>
      <c r="F107">
        <v>82500</v>
      </c>
      <c r="G107" s="234">
        <f t="shared" si="11"/>
        <v>0</v>
      </c>
      <c r="H107">
        <v>120714.28571428572</v>
      </c>
      <c r="I107" s="261">
        <f t="shared" si="12"/>
        <v>0</v>
      </c>
      <c r="J107">
        <v>82500</v>
      </c>
      <c r="K107" s="234">
        <f t="shared" si="13"/>
        <v>0</v>
      </c>
      <c r="L107" s="143">
        <v>120714.28571428572</v>
      </c>
      <c r="M107" s="261">
        <f t="shared" si="14"/>
        <v>0</v>
      </c>
      <c r="N107" s="234">
        <v>82500</v>
      </c>
      <c r="O107" s="234">
        <f t="shared" si="20"/>
        <v>0</v>
      </c>
      <c r="P107" s="143">
        <v>120714.28571428572</v>
      </c>
      <c r="Q107" s="261">
        <f t="shared" si="15"/>
        <v>0</v>
      </c>
      <c r="R107" s="281">
        <v>82500</v>
      </c>
      <c r="S107" s="234">
        <f t="shared" si="16"/>
        <v>0</v>
      </c>
      <c r="T107" s="22">
        <v>120714.28571428572</v>
      </c>
      <c r="U107" s="261">
        <f t="shared" si="17"/>
        <v>0</v>
      </c>
      <c r="V107" s="281">
        <v>82500</v>
      </c>
      <c r="W107" s="234">
        <f t="shared" si="18"/>
        <v>0</v>
      </c>
      <c r="X107" s="22">
        <v>120714.28571428572</v>
      </c>
      <c r="Y107" s="261">
        <f t="shared" si="19"/>
        <v>0</v>
      </c>
    </row>
    <row r="108" spans="1:25">
      <c r="A108" s="2"/>
      <c r="B108" s="2">
        <v>104</v>
      </c>
      <c r="C108" s="199" t="s">
        <v>642</v>
      </c>
      <c r="D108" s="234">
        <v>105000</v>
      </c>
      <c r="E108" s="143">
        <v>148571.42857142858</v>
      </c>
      <c r="F108">
        <v>105000</v>
      </c>
      <c r="G108" s="234">
        <f t="shared" si="11"/>
        <v>0</v>
      </c>
      <c r="H108">
        <v>148571.42857142858</v>
      </c>
      <c r="I108" s="261">
        <f t="shared" si="12"/>
        <v>0</v>
      </c>
      <c r="J108">
        <v>105000</v>
      </c>
      <c r="K108" s="234">
        <f t="shared" si="13"/>
        <v>0</v>
      </c>
      <c r="L108" s="143">
        <v>148571.42857142858</v>
      </c>
      <c r="M108" s="261">
        <f t="shared" si="14"/>
        <v>0</v>
      </c>
      <c r="N108" s="234">
        <v>105000</v>
      </c>
      <c r="O108" s="234">
        <f t="shared" si="20"/>
        <v>0</v>
      </c>
      <c r="P108" s="143">
        <v>148571.42857142858</v>
      </c>
      <c r="Q108" s="261">
        <f t="shared" si="15"/>
        <v>0</v>
      </c>
      <c r="R108" s="282">
        <v>105000</v>
      </c>
      <c r="S108" s="234">
        <f t="shared" si="16"/>
        <v>0</v>
      </c>
      <c r="T108" s="22">
        <v>148571.42857142858</v>
      </c>
      <c r="U108" s="261">
        <f t="shared" si="17"/>
        <v>0</v>
      </c>
      <c r="V108" s="282">
        <v>105000</v>
      </c>
      <c r="W108" s="234">
        <f t="shared" si="18"/>
        <v>0</v>
      </c>
      <c r="X108" s="22">
        <v>148571.42857142858</v>
      </c>
      <c r="Y108" s="261">
        <f t="shared" si="19"/>
        <v>0</v>
      </c>
    </row>
    <row r="109" spans="1:25">
      <c r="A109" s="2"/>
      <c r="B109" s="71">
        <v>105</v>
      </c>
      <c r="C109" s="196" t="s">
        <v>144</v>
      </c>
      <c r="D109" s="234">
        <v>101000</v>
      </c>
      <c r="E109" s="143">
        <v>142857.14285714287</v>
      </c>
      <c r="F109">
        <v>101000</v>
      </c>
      <c r="G109" s="234">
        <f t="shared" si="11"/>
        <v>0</v>
      </c>
      <c r="H109">
        <v>142857.14285714287</v>
      </c>
      <c r="I109" s="261">
        <f t="shared" si="12"/>
        <v>0</v>
      </c>
      <c r="J109">
        <v>101000</v>
      </c>
      <c r="K109" s="234">
        <f t="shared" si="13"/>
        <v>0</v>
      </c>
      <c r="L109" s="143">
        <v>142857.14285714287</v>
      </c>
      <c r="M109" s="261">
        <f t="shared" si="14"/>
        <v>0</v>
      </c>
      <c r="N109" s="234">
        <v>101000</v>
      </c>
      <c r="O109" s="234">
        <f t="shared" si="20"/>
        <v>0</v>
      </c>
      <c r="P109" s="143">
        <v>142857.14285714287</v>
      </c>
      <c r="Q109" s="261">
        <f t="shared" si="15"/>
        <v>0</v>
      </c>
      <c r="R109" s="282">
        <v>101000</v>
      </c>
      <c r="S109" s="234">
        <f t="shared" si="16"/>
        <v>0</v>
      </c>
      <c r="T109" s="22">
        <v>142857.14285714287</v>
      </c>
      <c r="U109" s="261">
        <f t="shared" si="17"/>
        <v>0</v>
      </c>
      <c r="V109" s="282">
        <v>101000</v>
      </c>
      <c r="W109" s="234">
        <f t="shared" si="18"/>
        <v>0</v>
      </c>
      <c r="X109" s="22">
        <v>142857.14285714287</v>
      </c>
      <c r="Y109" s="261">
        <f t="shared" si="19"/>
        <v>0</v>
      </c>
    </row>
    <row r="110" spans="1:25">
      <c r="A110" s="2"/>
      <c r="B110" s="71">
        <v>106</v>
      </c>
      <c r="C110" s="196" t="s">
        <v>145</v>
      </c>
      <c r="D110" s="234">
        <v>102500</v>
      </c>
      <c r="E110" s="143">
        <v>145000</v>
      </c>
      <c r="F110">
        <v>102500</v>
      </c>
      <c r="G110" s="234">
        <f t="shared" si="11"/>
        <v>0</v>
      </c>
      <c r="H110">
        <v>145000</v>
      </c>
      <c r="I110" s="261">
        <f t="shared" si="12"/>
        <v>0</v>
      </c>
      <c r="J110">
        <v>102500</v>
      </c>
      <c r="K110" s="234">
        <f t="shared" si="13"/>
        <v>0</v>
      </c>
      <c r="L110" s="143">
        <v>145000</v>
      </c>
      <c r="M110" s="261">
        <f t="shared" si="14"/>
        <v>0</v>
      </c>
      <c r="N110" s="234">
        <v>102500</v>
      </c>
      <c r="O110" s="234">
        <f t="shared" si="20"/>
        <v>0</v>
      </c>
      <c r="P110" s="143">
        <v>145000</v>
      </c>
      <c r="Q110" s="261">
        <f t="shared" si="15"/>
        <v>0</v>
      </c>
      <c r="R110" s="281">
        <v>102500</v>
      </c>
      <c r="S110" s="234">
        <f t="shared" si="16"/>
        <v>0</v>
      </c>
      <c r="T110" s="22">
        <v>145000</v>
      </c>
      <c r="U110" s="261">
        <f t="shared" si="17"/>
        <v>0</v>
      </c>
      <c r="V110" s="281">
        <v>102500</v>
      </c>
      <c r="W110" s="234">
        <f t="shared" si="18"/>
        <v>0</v>
      </c>
      <c r="X110" s="22">
        <v>145000</v>
      </c>
      <c r="Y110" s="261">
        <f t="shared" si="19"/>
        <v>0</v>
      </c>
    </row>
    <row r="111" spans="1:25">
      <c r="A111" s="2"/>
      <c r="B111" s="2">
        <v>107</v>
      </c>
      <c r="C111" s="199" t="s">
        <v>643</v>
      </c>
      <c r="D111" s="234">
        <v>103000</v>
      </c>
      <c r="E111" s="143">
        <v>145714.28571428571</v>
      </c>
      <c r="F111">
        <v>103000</v>
      </c>
      <c r="G111" s="234">
        <f t="shared" si="11"/>
        <v>0</v>
      </c>
      <c r="H111">
        <v>145714.28571428571</v>
      </c>
      <c r="I111" s="261">
        <f t="shared" si="12"/>
        <v>0</v>
      </c>
      <c r="J111">
        <v>103000</v>
      </c>
      <c r="K111" s="234">
        <f t="shared" si="13"/>
        <v>0</v>
      </c>
      <c r="L111" s="143">
        <v>145714.28571428571</v>
      </c>
      <c r="M111" s="261">
        <f t="shared" si="14"/>
        <v>0</v>
      </c>
      <c r="N111" s="234">
        <v>103000</v>
      </c>
      <c r="O111" s="234">
        <f t="shared" si="20"/>
        <v>0</v>
      </c>
      <c r="P111" s="143">
        <v>145714.28571428571</v>
      </c>
      <c r="Q111" s="261">
        <f t="shared" si="15"/>
        <v>0</v>
      </c>
      <c r="R111" s="281">
        <v>103000</v>
      </c>
      <c r="S111" s="234">
        <f t="shared" si="16"/>
        <v>0</v>
      </c>
      <c r="T111" s="22">
        <v>145714.28571428571</v>
      </c>
      <c r="U111" s="261">
        <f t="shared" si="17"/>
        <v>0</v>
      </c>
      <c r="V111" s="281">
        <v>103000</v>
      </c>
      <c r="W111" s="234">
        <f t="shared" si="18"/>
        <v>0</v>
      </c>
      <c r="X111" s="22">
        <v>145714.28571428571</v>
      </c>
      <c r="Y111" s="261">
        <f t="shared" si="19"/>
        <v>0</v>
      </c>
    </row>
    <row r="112" spans="1:25">
      <c r="A112" s="2"/>
      <c r="B112" s="71">
        <v>108</v>
      </c>
      <c r="C112" s="199" t="s">
        <v>644</v>
      </c>
      <c r="D112" s="234">
        <v>98000</v>
      </c>
      <c r="E112" s="143">
        <v>138571.42857142858</v>
      </c>
      <c r="F112">
        <v>98000</v>
      </c>
      <c r="G112" s="234">
        <f t="shared" si="11"/>
        <v>0</v>
      </c>
      <c r="H112">
        <v>138571.42857142858</v>
      </c>
      <c r="I112" s="261">
        <f t="shared" si="12"/>
        <v>0</v>
      </c>
      <c r="J112">
        <v>98000</v>
      </c>
      <c r="K112" s="234">
        <f t="shared" si="13"/>
        <v>0</v>
      </c>
      <c r="L112" s="143">
        <v>138571.42857142858</v>
      </c>
      <c r="M112" s="261">
        <f t="shared" si="14"/>
        <v>0</v>
      </c>
      <c r="N112" s="234">
        <v>98000</v>
      </c>
      <c r="O112" s="234">
        <f t="shared" si="20"/>
        <v>0</v>
      </c>
      <c r="P112" s="143">
        <v>138571.42857142858</v>
      </c>
      <c r="Q112" s="261">
        <f t="shared" si="15"/>
        <v>0</v>
      </c>
      <c r="R112" s="281">
        <v>98000</v>
      </c>
      <c r="S112" s="234">
        <f t="shared" si="16"/>
        <v>0</v>
      </c>
      <c r="T112" s="22">
        <v>138571.42857142858</v>
      </c>
      <c r="U112" s="261">
        <f t="shared" si="17"/>
        <v>0</v>
      </c>
      <c r="V112" s="281">
        <v>98000</v>
      </c>
      <c r="W112" s="234">
        <f t="shared" si="18"/>
        <v>0</v>
      </c>
      <c r="X112" s="22">
        <v>138571.42857142858</v>
      </c>
      <c r="Y112" s="261">
        <f t="shared" si="19"/>
        <v>0</v>
      </c>
    </row>
    <row r="113" spans="1:25">
      <c r="A113" s="2"/>
      <c r="B113" s="71">
        <v>109</v>
      </c>
      <c r="C113" s="196" t="s">
        <v>146</v>
      </c>
      <c r="D113" s="234">
        <v>82500</v>
      </c>
      <c r="E113" s="143">
        <v>120714.28571428572</v>
      </c>
      <c r="F113">
        <v>82500</v>
      </c>
      <c r="G113" s="234">
        <f t="shared" si="11"/>
        <v>0</v>
      </c>
      <c r="H113">
        <v>120714.28571428572</v>
      </c>
      <c r="I113" s="261">
        <f t="shared" si="12"/>
        <v>0</v>
      </c>
      <c r="J113">
        <v>82500</v>
      </c>
      <c r="K113" s="234">
        <f t="shared" si="13"/>
        <v>0</v>
      </c>
      <c r="L113" s="143">
        <v>120714.28571428572</v>
      </c>
      <c r="M113" s="261">
        <f t="shared" si="14"/>
        <v>0</v>
      </c>
      <c r="N113" s="234">
        <v>82500</v>
      </c>
      <c r="O113" s="234">
        <f t="shared" si="20"/>
        <v>0</v>
      </c>
      <c r="P113" s="143">
        <v>120714.28571428572</v>
      </c>
      <c r="Q113" s="261">
        <f t="shared" si="15"/>
        <v>0</v>
      </c>
      <c r="R113" s="281">
        <v>82500</v>
      </c>
      <c r="S113" s="234">
        <f t="shared" si="16"/>
        <v>0</v>
      </c>
      <c r="T113" s="22">
        <v>120714.28571428572</v>
      </c>
      <c r="U113" s="261">
        <f t="shared" si="17"/>
        <v>0</v>
      </c>
      <c r="V113" s="281">
        <v>82500</v>
      </c>
      <c r="W113" s="234">
        <f t="shared" si="18"/>
        <v>0</v>
      </c>
      <c r="X113" s="22">
        <v>120714.28571428572</v>
      </c>
      <c r="Y113" s="261">
        <f t="shared" si="19"/>
        <v>0</v>
      </c>
    </row>
    <row r="114" spans="1:25">
      <c r="A114" s="2"/>
      <c r="B114" s="2">
        <v>110</v>
      </c>
      <c r="C114" s="196" t="s">
        <v>147</v>
      </c>
      <c r="D114" s="234">
        <v>58000</v>
      </c>
      <c r="E114" s="143">
        <v>87142.857142857145</v>
      </c>
      <c r="F114">
        <v>58000</v>
      </c>
      <c r="G114" s="234">
        <f t="shared" si="11"/>
        <v>0</v>
      </c>
      <c r="H114">
        <v>87142.857142857145</v>
      </c>
      <c r="I114" s="261">
        <f t="shared" si="12"/>
        <v>0</v>
      </c>
      <c r="J114">
        <v>58000</v>
      </c>
      <c r="K114" s="234">
        <f t="shared" si="13"/>
        <v>0</v>
      </c>
      <c r="L114" s="143">
        <v>87142.857142857145</v>
      </c>
      <c r="M114" s="261">
        <f t="shared" si="14"/>
        <v>0</v>
      </c>
      <c r="N114" s="234">
        <v>58000</v>
      </c>
      <c r="O114" s="234">
        <f t="shared" si="20"/>
        <v>0</v>
      </c>
      <c r="P114" s="143">
        <v>88571.42857142858</v>
      </c>
      <c r="Q114" s="261">
        <f t="shared" si="15"/>
        <v>1428.5714285714348</v>
      </c>
      <c r="R114" s="281">
        <v>58000</v>
      </c>
      <c r="S114" s="234">
        <f t="shared" si="16"/>
        <v>0</v>
      </c>
      <c r="T114" s="22">
        <v>88571.42857142858</v>
      </c>
      <c r="U114" s="261">
        <f t="shared" si="17"/>
        <v>0</v>
      </c>
      <c r="V114" s="281">
        <v>58000</v>
      </c>
      <c r="W114" s="234">
        <f t="shared" si="18"/>
        <v>0</v>
      </c>
      <c r="X114" s="22">
        <v>90000</v>
      </c>
      <c r="Y114" s="261">
        <f t="shared" si="19"/>
        <v>1428.5714285714203</v>
      </c>
    </row>
    <row r="115" spans="1:25">
      <c r="A115" s="2"/>
      <c r="B115" s="71">
        <v>111</v>
      </c>
      <c r="C115" s="196" t="s">
        <v>148</v>
      </c>
      <c r="D115" s="234">
        <v>82500</v>
      </c>
      <c r="E115" s="143">
        <v>120714.28571428572</v>
      </c>
      <c r="F115">
        <v>82500</v>
      </c>
      <c r="G115" s="234">
        <f t="shared" si="11"/>
        <v>0</v>
      </c>
      <c r="H115">
        <v>120714.28571428572</v>
      </c>
      <c r="I115" s="261">
        <f t="shared" si="12"/>
        <v>0</v>
      </c>
      <c r="J115">
        <v>82500</v>
      </c>
      <c r="K115" s="234">
        <f t="shared" si="13"/>
        <v>0</v>
      </c>
      <c r="L115" s="143">
        <v>120714.28571428572</v>
      </c>
      <c r="M115" s="261">
        <f t="shared" si="14"/>
        <v>0</v>
      </c>
      <c r="N115" s="234">
        <v>82500</v>
      </c>
      <c r="O115" s="234">
        <f t="shared" si="20"/>
        <v>0</v>
      </c>
      <c r="P115" s="143">
        <v>120714.28571428572</v>
      </c>
      <c r="Q115" s="261">
        <f t="shared" si="15"/>
        <v>0</v>
      </c>
      <c r="R115" s="281">
        <v>82500</v>
      </c>
      <c r="S115" s="234">
        <f t="shared" si="16"/>
        <v>0</v>
      </c>
      <c r="T115" s="22">
        <v>120714.28571428572</v>
      </c>
      <c r="U115" s="261">
        <f t="shared" si="17"/>
        <v>0</v>
      </c>
      <c r="V115" s="281">
        <v>82500</v>
      </c>
      <c r="W115" s="234">
        <f t="shared" si="18"/>
        <v>0</v>
      </c>
      <c r="X115" s="22">
        <v>120714.28571428572</v>
      </c>
      <c r="Y115" s="261">
        <f t="shared" si="19"/>
        <v>0</v>
      </c>
    </row>
    <row r="116" spans="1:25">
      <c r="A116" s="2"/>
      <c r="B116" s="71">
        <v>112</v>
      </c>
      <c r="C116" s="196" t="s">
        <v>149</v>
      </c>
      <c r="D116" s="234">
        <v>86800</v>
      </c>
      <c r="E116" s="143">
        <v>122571.42857142858</v>
      </c>
      <c r="F116">
        <v>86800</v>
      </c>
      <c r="G116" s="234">
        <f t="shared" si="11"/>
        <v>0</v>
      </c>
      <c r="H116">
        <v>122571.42857142858</v>
      </c>
      <c r="I116" s="261">
        <f t="shared" si="12"/>
        <v>0</v>
      </c>
      <c r="J116">
        <v>86800</v>
      </c>
      <c r="K116" s="234">
        <f t="shared" si="13"/>
        <v>0</v>
      </c>
      <c r="L116" s="143">
        <v>122571.42857142858</v>
      </c>
      <c r="M116" s="261">
        <f t="shared" si="14"/>
        <v>0</v>
      </c>
      <c r="N116" s="234">
        <v>86800</v>
      </c>
      <c r="O116" s="234">
        <f t="shared" si="20"/>
        <v>0</v>
      </c>
      <c r="P116" s="143">
        <v>122571.42857142858</v>
      </c>
      <c r="Q116" s="261">
        <f t="shared" si="15"/>
        <v>0</v>
      </c>
      <c r="R116" s="281">
        <v>86800</v>
      </c>
      <c r="S116" s="234">
        <f t="shared" si="16"/>
        <v>0</v>
      </c>
      <c r="T116" s="22">
        <v>122571.42857142858</v>
      </c>
      <c r="U116" s="261">
        <f t="shared" si="17"/>
        <v>0</v>
      </c>
      <c r="V116" s="281">
        <v>86800</v>
      </c>
      <c r="W116" s="234">
        <f t="shared" si="18"/>
        <v>0</v>
      </c>
      <c r="X116" s="22">
        <v>122571.42857142858</v>
      </c>
      <c r="Y116" s="261">
        <f t="shared" si="19"/>
        <v>0</v>
      </c>
    </row>
    <row r="117" spans="1:25">
      <c r="A117" s="2"/>
      <c r="B117" s="2">
        <v>113</v>
      </c>
      <c r="C117" s="196" t="s">
        <v>150</v>
      </c>
      <c r="D117" s="234">
        <v>88950</v>
      </c>
      <c r="E117" s="143">
        <v>131357.14285714287</v>
      </c>
      <c r="F117">
        <v>88950</v>
      </c>
      <c r="G117" s="234">
        <f t="shared" si="11"/>
        <v>0</v>
      </c>
      <c r="H117">
        <v>131357.14285714287</v>
      </c>
      <c r="I117" s="261">
        <f t="shared" si="12"/>
        <v>0</v>
      </c>
      <c r="J117">
        <v>88950</v>
      </c>
      <c r="K117" s="234">
        <f t="shared" si="13"/>
        <v>0</v>
      </c>
      <c r="L117" s="143">
        <v>131357.14285714287</v>
      </c>
      <c r="M117" s="261">
        <f t="shared" si="14"/>
        <v>0</v>
      </c>
      <c r="N117" s="234">
        <v>88950</v>
      </c>
      <c r="O117" s="234">
        <f t="shared" si="20"/>
        <v>0</v>
      </c>
      <c r="P117" s="143">
        <v>131357.14285714287</v>
      </c>
      <c r="Q117" s="261">
        <f t="shared" si="15"/>
        <v>0</v>
      </c>
      <c r="R117" s="281">
        <v>88950</v>
      </c>
      <c r="S117" s="234">
        <f t="shared" si="16"/>
        <v>0</v>
      </c>
      <c r="T117" s="22">
        <v>131357.14285714287</v>
      </c>
      <c r="U117" s="261">
        <f t="shared" si="17"/>
        <v>0</v>
      </c>
      <c r="V117" s="281">
        <v>88950</v>
      </c>
      <c r="W117" s="234">
        <f t="shared" si="18"/>
        <v>0</v>
      </c>
      <c r="X117" s="22">
        <v>131357.14285714287</v>
      </c>
      <c r="Y117" s="261">
        <f t="shared" si="19"/>
        <v>0</v>
      </c>
    </row>
    <row r="118" spans="1:25">
      <c r="A118" s="2"/>
      <c r="B118" s="71">
        <v>114</v>
      </c>
      <c r="C118" s="196" t="s">
        <v>152</v>
      </c>
      <c r="D118" s="234">
        <v>94450</v>
      </c>
      <c r="E118" s="143">
        <v>137785.71428571429</v>
      </c>
      <c r="F118">
        <v>94450</v>
      </c>
      <c r="G118" s="234">
        <f t="shared" si="11"/>
        <v>0</v>
      </c>
      <c r="H118">
        <v>137785.71428571429</v>
      </c>
      <c r="I118" s="261">
        <f t="shared" si="12"/>
        <v>0</v>
      </c>
      <c r="J118">
        <v>94450</v>
      </c>
      <c r="K118" s="234">
        <f t="shared" si="13"/>
        <v>0</v>
      </c>
      <c r="L118" s="143">
        <v>137785.71428571429</v>
      </c>
      <c r="M118" s="261">
        <f t="shared" si="14"/>
        <v>0</v>
      </c>
      <c r="N118" s="234">
        <v>94450</v>
      </c>
      <c r="O118" s="234">
        <f t="shared" si="20"/>
        <v>0</v>
      </c>
      <c r="P118" s="143">
        <v>137785.71428571429</v>
      </c>
      <c r="Q118" s="261">
        <f t="shared" si="15"/>
        <v>0</v>
      </c>
      <c r="R118" s="281">
        <v>94450</v>
      </c>
      <c r="S118" s="234">
        <f t="shared" si="16"/>
        <v>0</v>
      </c>
      <c r="T118" s="22">
        <v>137785.71428571429</v>
      </c>
      <c r="U118" s="261">
        <f t="shared" si="17"/>
        <v>0</v>
      </c>
      <c r="V118" s="281">
        <v>94450</v>
      </c>
      <c r="W118" s="234">
        <f t="shared" si="18"/>
        <v>0</v>
      </c>
      <c r="X118" s="22">
        <v>137785.71428571429</v>
      </c>
      <c r="Y118" s="261">
        <f t="shared" si="19"/>
        <v>0</v>
      </c>
    </row>
    <row r="119" spans="1:25">
      <c r="A119" s="2"/>
      <c r="B119" s="71">
        <v>115</v>
      </c>
      <c r="C119" s="196" t="s">
        <v>153</v>
      </c>
      <c r="D119" s="234">
        <v>86800</v>
      </c>
      <c r="E119" s="143">
        <v>122571.42857142858</v>
      </c>
      <c r="F119">
        <v>86800</v>
      </c>
      <c r="G119" s="234">
        <f t="shared" si="11"/>
        <v>0</v>
      </c>
      <c r="H119">
        <v>122571.42857142858</v>
      </c>
      <c r="I119" s="261">
        <f t="shared" si="12"/>
        <v>0</v>
      </c>
      <c r="J119">
        <v>86800</v>
      </c>
      <c r="K119" s="234">
        <f t="shared" si="13"/>
        <v>0</v>
      </c>
      <c r="L119" s="143">
        <v>122571.42857142858</v>
      </c>
      <c r="M119" s="261">
        <f t="shared" si="14"/>
        <v>0</v>
      </c>
      <c r="N119" s="234">
        <v>86800</v>
      </c>
      <c r="O119" s="234">
        <f t="shared" si="20"/>
        <v>0</v>
      </c>
      <c r="P119" s="143">
        <v>122571.42857142858</v>
      </c>
      <c r="Q119" s="261">
        <f t="shared" si="15"/>
        <v>0</v>
      </c>
      <c r="R119" s="281">
        <v>86800</v>
      </c>
      <c r="S119" s="234">
        <f t="shared" si="16"/>
        <v>0</v>
      </c>
      <c r="T119" s="22">
        <v>122571.42857142858</v>
      </c>
      <c r="U119" s="261">
        <f t="shared" si="17"/>
        <v>0</v>
      </c>
      <c r="V119" s="281">
        <v>86800</v>
      </c>
      <c r="W119" s="234">
        <f t="shared" si="18"/>
        <v>0</v>
      </c>
      <c r="X119" s="22">
        <v>122571.42857142858</v>
      </c>
      <c r="Y119" s="261">
        <f t="shared" si="19"/>
        <v>0</v>
      </c>
    </row>
    <row r="120" spans="1:25">
      <c r="A120" s="2"/>
      <c r="B120" s="2">
        <v>116</v>
      </c>
      <c r="C120" s="196" t="s">
        <v>154</v>
      </c>
      <c r="D120" s="234">
        <v>89050</v>
      </c>
      <c r="E120" s="143">
        <v>130071.42857142858</v>
      </c>
      <c r="F120">
        <v>89050</v>
      </c>
      <c r="G120" s="234">
        <f t="shared" si="11"/>
        <v>0</v>
      </c>
      <c r="H120">
        <v>130071.42857142858</v>
      </c>
      <c r="I120" s="261">
        <f t="shared" si="12"/>
        <v>0</v>
      </c>
      <c r="J120">
        <v>89050</v>
      </c>
      <c r="K120" s="234">
        <f t="shared" si="13"/>
        <v>0</v>
      </c>
      <c r="L120" s="143">
        <v>130071.42857142858</v>
      </c>
      <c r="M120" s="261">
        <f t="shared" si="14"/>
        <v>0</v>
      </c>
      <c r="N120" s="234">
        <v>89050</v>
      </c>
      <c r="O120" s="234">
        <f t="shared" si="20"/>
        <v>0</v>
      </c>
      <c r="P120" s="143">
        <v>130071.42857142858</v>
      </c>
      <c r="Q120" s="261">
        <f t="shared" si="15"/>
        <v>0</v>
      </c>
      <c r="R120" s="281">
        <v>89050</v>
      </c>
      <c r="S120" s="234">
        <f t="shared" si="16"/>
        <v>0</v>
      </c>
      <c r="T120" s="22">
        <v>130071.42857142858</v>
      </c>
      <c r="U120" s="261">
        <f t="shared" si="17"/>
        <v>0</v>
      </c>
      <c r="V120" s="281">
        <v>89050</v>
      </c>
      <c r="W120" s="234">
        <f t="shared" si="18"/>
        <v>0</v>
      </c>
      <c r="X120" s="22">
        <v>130071.42857142858</v>
      </c>
      <c r="Y120" s="261">
        <f t="shared" si="19"/>
        <v>0</v>
      </c>
    </row>
    <row r="121" spans="1:25">
      <c r="A121" s="2"/>
      <c r="B121" s="71">
        <v>117</v>
      </c>
      <c r="C121" s="196" t="s">
        <v>155</v>
      </c>
      <c r="D121" s="234">
        <v>103950</v>
      </c>
      <c r="E121" s="143">
        <v>147071.42857142858</v>
      </c>
      <c r="F121">
        <v>103950</v>
      </c>
      <c r="G121" s="234">
        <f t="shared" si="11"/>
        <v>0</v>
      </c>
      <c r="H121">
        <v>147071.42857142858</v>
      </c>
      <c r="I121" s="261">
        <f t="shared" si="12"/>
        <v>0</v>
      </c>
      <c r="J121">
        <v>103950</v>
      </c>
      <c r="K121" s="234">
        <f t="shared" si="13"/>
        <v>0</v>
      </c>
      <c r="L121" s="143">
        <v>147071.42857142858</v>
      </c>
      <c r="M121" s="261">
        <f t="shared" si="14"/>
        <v>0</v>
      </c>
      <c r="N121" s="234">
        <v>103950</v>
      </c>
      <c r="O121" s="234">
        <f t="shared" si="20"/>
        <v>0</v>
      </c>
      <c r="P121" s="143">
        <v>147071.42857142858</v>
      </c>
      <c r="Q121" s="261">
        <f t="shared" si="15"/>
        <v>0</v>
      </c>
      <c r="R121" s="281">
        <v>103950</v>
      </c>
      <c r="S121" s="234">
        <f t="shared" si="16"/>
        <v>0</v>
      </c>
      <c r="T121" s="22">
        <v>147071.42857142858</v>
      </c>
      <c r="U121" s="261">
        <f t="shared" si="17"/>
        <v>0</v>
      </c>
      <c r="V121" s="281">
        <v>103950</v>
      </c>
      <c r="W121" s="234">
        <f t="shared" si="18"/>
        <v>0</v>
      </c>
      <c r="X121" s="22">
        <v>147071.42857142858</v>
      </c>
      <c r="Y121" s="261">
        <f t="shared" si="19"/>
        <v>0</v>
      </c>
    </row>
    <row r="122" spans="1:25">
      <c r="A122" s="2"/>
      <c r="B122" s="71">
        <v>118</v>
      </c>
      <c r="C122" s="196" t="s">
        <v>156</v>
      </c>
      <c r="D122" s="234">
        <v>79650</v>
      </c>
      <c r="E122" s="143">
        <v>116642.85714285714</v>
      </c>
      <c r="F122">
        <v>79650</v>
      </c>
      <c r="G122" s="234">
        <f t="shared" si="11"/>
        <v>0</v>
      </c>
      <c r="H122">
        <v>116642.85714285714</v>
      </c>
      <c r="I122" s="261">
        <f t="shared" si="12"/>
        <v>0</v>
      </c>
      <c r="J122">
        <v>79650</v>
      </c>
      <c r="K122" s="234">
        <f t="shared" si="13"/>
        <v>0</v>
      </c>
      <c r="L122" s="143">
        <v>116642.85714285714</v>
      </c>
      <c r="M122" s="261">
        <f t="shared" si="14"/>
        <v>0</v>
      </c>
      <c r="N122" s="234">
        <v>79650</v>
      </c>
      <c r="O122" s="234">
        <f t="shared" si="20"/>
        <v>0</v>
      </c>
      <c r="P122" s="143">
        <v>116642.85714285714</v>
      </c>
      <c r="Q122" s="261">
        <f t="shared" si="15"/>
        <v>0</v>
      </c>
      <c r="R122" s="281">
        <v>79650</v>
      </c>
      <c r="S122" s="234">
        <f t="shared" si="16"/>
        <v>0</v>
      </c>
      <c r="T122" s="22">
        <v>116642.85714285714</v>
      </c>
      <c r="U122" s="261">
        <f t="shared" si="17"/>
        <v>0</v>
      </c>
      <c r="V122" s="281">
        <v>79650</v>
      </c>
      <c r="W122" s="234">
        <f t="shared" si="18"/>
        <v>0</v>
      </c>
      <c r="X122" s="22">
        <v>116642.85714285714</v>
      </c>
      <c r="Y122" s="261">
        <f t="shared" si="19"/>
        <v>0</v>
      </c>
    </row>
    <row r="123" spans="1:25">
      <c r="A123" s="2"/>
      <c r="B123" s="2">
        <v>119</v>
      </c>
      <c r="C123" s="196" t="s">
        <v>157</v>
      </c>
      <c r="D123" s="234">
        <v>104150</v>
      </c>
      <c r="E123" s="143">
        <v>151642.85714285716</v>
      </c>
      <c r="F123">
        <v>104150</v>
      </c>
      <c r="G123" s="234">
        <f t="shared" si="11"/>
        <v>0</v>
      </c>
      <c r="H123">
        <v>151642.85714285716</v>
      </c>
      <c r="I123" s="261">
        <f t="shared" si="12"/>
        <v>0</v>
      </c>
      <c r="J123">
        <v>104150</v>
      </c>
      <c r="K123" s="234">
        <f t="shared" si="13"/>
        <v>0</v>
      </c>
      <c r="L123" s="143">
        <v>151642.85714285716</v>
      </c>
      <c r="M123" s="261">
        <f t="shared" si="14"/>
        <v>0</v>
      </c>
      <c r="N123" s="234">
        <v>104150</v>
      </c>
      <c r="O123" s="234">
        <f t="shared" si="20"/>
        <v>0</v>
      </c>
      <c r="P123" s="143">
        <v>153071.42857142858</v>
      </c>
      <c r="Q123" s="261">
        <f t="shared" si="15"/>
        <v>1428.5714285714203</v>
      </c>
      <c r="R123" s="281">
        <v>104150</v>
      </c>
      <c r="S123" s="234">
        <f t="shared" si="16"/>
        <v>0</v>
      </c>
      <c r="T123" s="22">
        <v>153071.42857142858</v>
      </c>
      <c r="U123" s="261">
        <f t="shared" si="17"/>
        <v>0</v>
      </c>
      <c r="V123" s="281">
        <v>104150</v>
      </c>
      <c r="W123" s="234">
        <f t="shared" si="18"/>
        <v>0</v>
      </c>
      <c r="X123" s="22">
        <v>153071.42857142858</v>
      </c>
      <c r="Y123" s="261">
        <f t="shared" si="19"/>
        <v>0</v>
      </c>
    </row>
    <row r="124" spans="1:25">
      <c r="A124" s="2"/>
      <c r="B124" s="71">
        <v>120</v>
      </c>
      <c r="C124" s="196" t="s">
        <v>159</v>
      </c>
      <c r="D124" s="234">
        <v>91650</v>
      </c>
      <c r="E124" s="143">
        <v>126642.85714285714</v>
      </c>
      <c r="F124">
        <v>91650</v>
      </c>
      <c r="G124" s="234">
        <f t="shared" si="11"/>
        <v>0</v>
      </c>
      <c r="H124">
        <v>126642.85714285714</v>
      </c>
      <c r="I124" s="261">
        <f t="shared" si="12"/>
        <v>0</v>
      </c>
      <c r="J124">
        <v>91650</v>
      </c>
      <c r="K124" s="234">
        <f t="shared" si="13"/>
        <v>0</v>
      </c>
      <c r="L124" s="143">
        <v>126642.85714285714</v>
      </c>
      <c r="M124" s="261">
        <f t="shared" si="14"/>
        <v>0</v>
      </c>
      <c r="N124" s="234">
        <v>91650</v>
      </c>
      <c r="O124" s="234">
        <f t="shared" si="20"/>
        <v>0</v>
      </c>
      <c r="P124" s="143">
        <v>130928.57142857143</v>
      </c>
      <c r="Q124" s="261">
        <f t="shared" si="15"/>
        <v>4285.7142857142899</v>
      </c>
      <c r="R124" s="281">
        <v>91650</v>
      </c>
      <c r="S124" s="234">
        <f t="shared" si="16"/>
        <v>0</v>
      </c>
      <c r="T124" s="22">
        <v>130928.57142857143</v>
      </c>
      <c r="U124" s="261">
        <f t="shared" si="17"/>
        <v>0</v>
      </c>
      <c r="V124" s="281">
        <v>91650</v>
      </c>
      <c r="W124" s="234">
        <f t="shared" si="18"/>
        <v>0</v>
      </c>
      <c r="X124" s="22">
        <v>130928.57142857143</v>
      </c>
      <c r="Y124" s="261">
        <f t="shared" si="19"/>
        <v>0</v>
      </c>
    </row>
    <row r="125" spans="1:25">
      <c r="A125" s="2"/>
      <c r="B125" s="71">
        <v>121</v>
      </c>
      <c r="C125" s="196" t="s">
        <v>162</v>
      </c>
      <c r="D125" s="234">
        <v>86950</v>
      </c>
      <c r="E125" s="143">
        <v>122785.71428571429</v>
      </c>
      <c r="F125">
        <v>86950</v>
      </c>
      <c r="G125" s="234">
        <f t="shared" si="11"/>
        <v>0</v>
      </c>
      <c r="H125">
        <v>122785.71428571429</v>
      </c>
      <c r="I125" s="261">
        <f t="shared" si="12"/>
        <v>0</v>
      </c>
      <c r="J125">
        <v>86950</v>
      </c>
      <c r="K125" s="234">
        <f t="shared" si="13"/>
        <v>0</v>
      </c>
      <c r="L125" s="143">
        <v>122785.71428571429</v>
      </c>
      <c r="M125" s="261">
        <f t="shared" si="14"/>
        <v>0</v>
      </c>
      <c r="N125" s="234">
        <v>86950</v>
      </c>
      <c r="O125" s="234">
        <f t="shared" si="20"/>
        <v>0</v>
      </c>
      <c r="P125" s="143">
        <v>122785.71428571429</v>
      </c>
      <c r="Q125" s="261">
        <f t="shared" si="15"/>
        <v>0</v>
      </c>
      <c r="R125" s="281">
        <v>86950</v>
      </c>
      <c r="S125" s="234">
        <f t="shared" si="16"/>
        <v>0</v>
      </c>
      <c r="T125" s="22">
        <v>122785.71428571429</v>
      </c>
      <c r="U125" s="261">
        <f t="shared" si="17"/>
        <v>0</v>
      </c>
      <c r="V125" s="281">
        <v>86950</v>
      </c>
      <c r="W125" s="234">
        <f t="shared" si="18"/>
        <v>0</v>
      </c>
      <c r="X125" s="22">
        <v>122785.71428571429</v>
      </c>
      <c r="Y125" s="261">
        <f t="shared" si="19"/>
        <v>0</v>
      </c>
    </row>
    <row r="126" spans="1:25">
      <c r="A126" s="2"/>
      <c r="B126" s="2">
        <v>122</v>
      </c>
      <c r="C126" s="196" t="s">
        <v>164</v>
      </c>
      <c r="D126" s="234">
        <v>82500</v>
      </c>
      <c r="E126" s="143">
        <v>123571.42857142858</v>
      </c>
      <c r="F126">
        <v>82500</v>
      </c>
      <c r="G126" s="234">
        <f t="shared" si="11"/>
        <v>0</v>
      </c>
      <c r="H126">
        <v>122142.85714285714</v>
      </c>
      <c r="I126" s="261">
        <f t="shared" si="12"/>
        <v>-1428.5714285714348</v>
      </c>
      <c r="J126">
        <v>82500</v>
      </c>
      <c r="K126" s="234">
        <f t="shared" si="13"/>
        <v>0</v>
      </c>
      <c r="L126" s="143">
        <v>122142.85714285714</v>
      </c>
      <c r="M126" s="261">
        <f t="shared" si="14"/>
        <v>0</v>
      </c>
      <c r="N126" s="234">
        <v>82500</v>
      </c>
      <c r="O126" s="234">
        <f t="shared" si="20"/>
        <v>0</v>
      </c>
      <c r="P126" s="143">
        <v>122142.85714285714</v>
      </c>
      <c r="Q126" s="261">
        <f t="shared" si="15"/>
        <v>0</v>
      </c>
      <c r="R126" s="281">
        <v>82500</v>
      </c>
      <c r="S126" s="234">
        <f t="shared" si="16"/>
        <v>0</v>
      </c>
      <c r="T126" s="22">
        <v>122142.85714285714</v>
      </c>
      <c r="U126" s="261">
        <f t="shared" si="17"/>
        <v>0</v>
      </c>
      <c r="V126" s="281">
        <v>82500</v>
      </c>
      <c r="W126" s="234">
        <f t="shared" si="18"/>
        <v>0</v>
      </c>
      <c r="X126" s="22">
        <v>122142.85714285714</v>
      </c>
      <c r="Y126" s="261">
        <f t="shared" si="19"/>
        <v>0</v>
      </c>
    </row>
    <row r="127" spans="1:25">
      <c r="A127" s="2"/>
      <c r="B127" s="71">
        <v>123</v>
      </c>
      <c r="C127" s="196" t="s">
        <v>165</v>
      </c>
      <c r="D127" s="234">
        <v>106150</v>
      </c>
      <c r="E127" s="143">
        <v>154500</v>
      </c>
      <c r="F127">
        <v>106150</v>
      </c>
      <c r="G127" s="234">
        <f t="shared" si="11"/>
        <v>0</v>
      </c>
      <c r="H127">
        <v>154500</v>
      </c>
      <c r="I127" s="261">
        <f t="shared" si="12"/>
        <v>0</v>
      </c>
      <c r="J127">
        <v>106150</v>
      </c>
      <c r="K127" s="234">
        <f t="shared" si="13"/>
        <v>0</v>
      </c>
      <c r="L127" s="143">
        <v>154500</v>
      </c>
      <c r="M127" s="261">
        <f t="shared" si="14"/>
        <v>0</v>
      </c>
      <c r="N127" s="234">
        <v>106150</v>
      </c>
      <c r="O127" s="234">
        <f t="shared" si="20"/>
        <v>0</v>
      </c>
      <c r="P127" s="143">
        <v>155928.57142857145</v>
      </c>
      <c r="Q127" s="261">
        <f t="shared" si="15"/>
        <v>1428.5714285714494</v>
      </c>
      <c r="R127" s="281">
        <v>106150</v>
      </c>
      <c r="S127" s="234">
        <f t="shared" si="16"/>
        <v>0</v>
      </c>
      <c r="T127" s="22">
        <v>155928.57142857145</v>
      </c>
      <c r="U127" s="261">
        <f t="shared" si="17"/>
        <v>0</v>
      </c>
      <c r="V127" s="281">
        <v>106150</v>
      </c>
      <c r="W127" s="234">
        <f t="shared" si="18"/>
        <v>0</v>
      </c>
      <c r="X127" s="22">
        <v>155928.57142857145</v>
      </c>
      <c r="Y127" s="261">
        <f t="shared" si="19"/>
        <v>0</v>
      </c>
    </row>
    <row r="128" spans="1:25">
      <c r="A128" s="2"/>
      <c r="B128" s="71">
        <v>124</v>
      </c>
      <c r="C128" s="196" t="s">
        <v>167</v>
      </c>
      <c r="D128" s="234">
        <v>82500</v>
      </c>
      <c r="E128" s="143">
        <v>123571.42857142858</v>
      </c>
      <c r="F128">
        <v>82500</v>
      </c>
      <c r="G128" s="234">
        <f t="shared" si="11"/>
        <v>0</v>
      </c>
      <c r="H128">
        <v>122142.85714285714</v>
      </c>
      <c r="I128" s="261">
        <f t="shared" si="12"/>
        <v>-1428.5714285714348</v>
      </c>
      <c r="J128">
        <v>82500</v>
      </c>
      <c r="K128" s="234">
        <f t="shared" si="13"/>
        <v>0</v>
      </c>
      <c r="L128" s="143">
        <v>122142.85714285714</v>
      </c>
      <c r="M128" s="261">
        <f t="shared" si="14"/>
        <v>0</v>
      </c>
      <c r="N128" s="234">
        <v>82500</v>
      </c>
      <c r="O128" s="234">
        <f t="shared" si="20"/>
        <v>0</v>
      </c>
      <c r="P128" s="143">
        <v>122142.85714285714</v>
      </c>
      <c r="Q128" s="261">
        <f t="shared" si="15"/>
        <v>0</v>
      </c>
      <c r="R128" s="281">
        <v>82500</v>
      </c>
      <c r="S128" s="234">
        <f t="shared" si="16"/>
        <v>0</v>
      </c>
      <c r="T128" s="22">
        <v>122142.85714285714</v>
      </c>
      <c r="U128" s="261">
        <f t="shared" si="17"/>
        <v>0</v>
      </c>
      <c r="V128" s="281">
        <v>82500</v>
      </c>
      <c r="W128" s="234">
        <f t="shared" si="18"/>
        <v>0</v>
      </c>
      <c r="X128" s="22">
        <v>122142.85714285714</v>
      </c>
      <c r="Y128" s="261">
        <f t="shared" si="19"/>
        <v>0</v>
      </c>
    </row>
    <row r="129" spans="1:25">
      <c r="A129" s="2"/>
      <c r="B129" s="2">
        <v>125</v>
      </c>
      <c r="C129" s="196" t="s">
        <v>169</v>
      </c>
      <c r="D129" s="234">
        <v>95000</v>
      </c>
      <c r="E129" s="143">
        <v>140000</v>
      </c>
      <c r="F129">
        <v>95000</v>
      </c>
      <c r="G129" s="234">
        <f t="shared" si="11"/>
        <v>0</v>
      </c>
      <c r="H129">
        <v>140000</v>
      </c>
      <c r="I129" s="261">
        <f t="shared" si="12"/>
        <v>0</v>
      </c>
      <c r="J129">
        <v>95000</v>
      </c>
      <c r="K129" s="234">
        <f t="shared" si="13"/>
        <v>0</v>
      </c>
      <c r="L129" s="143">
        <v>140000</v>
      </c>
      <c r="M129" s="261">
        <f t="shared" si="14"/>
        <v>0</v>
      </c>
      <c r="N129" s="234">
        <v>95000</v>
      </c>
      <c r="O129" s="234">
        <f t="shared" si="20"/>
        <v>0</v>
      </c>
      <c r="P129" s="143">
        <v>140000</v>
      </c>
      <c r="Q129" s="261">
        <f t="shared" si="15"/>
        <v>0</v>
      </c>
      <c r="R129" s="281">
        <v>95000</v>
      </c>
      <c r="S129" s="234">
        <f t="shared" si="16"/>
        <v>0</v>
      </c>
      <c r="T129" s="22">
        <v>140000</v>
      </c>
      <c r="U129" s="261">
        <f t="shared" si="17"/>
        <v>0</v>
      </c>
      <c r="V129" s="281">
        <v>95000</v>
      </c>
      <c r="W129" s="234">
        <f t="shared" si="18"/>
        <v>0</v>
      </c>
      <c r="X129" s="22">
        <v>140000</v>
      </c>
      <c r="Y129" s="261">
        <f t="shared" si="19"/>
        <v>0</v>
      </c>
    </row>
    <row r="130" spans="1:25">
      <c r="A130" s="2"/>
      <c r="B130" s="71">
        <v>126</v>
      </c>
      <c r="C130" s="199" t="s">
        <v>645</v>
      </c>
      <c r="D130" s="234">
        <v>90000</v>
      </c>
      <c r="E130" s="143">
        <v>132857.14285714287</v>
      </c>
      <c r="F130">
        <v>90000</v>
      </c>
      <c r="G130" s="234">
        <f t="shared" si="11"/>
        <v>0</v>
      </c>
      <c r="H130">
        <v>131428.57142857145</v>
      </c>
      <c r="I130" s="261">
        <f t="shared" si="12"/>
        <v>-1428.5714285714203</v>
      </c>
      <c r="J130">
        <v>90000</v>
      </c>
      <c r="K130" s="234">
        <f t="shared" si="13"/>
        <v>0</v>
      </c>
      <c r="L130" s="143">
        <v>131428.57142857145</v>
      </c>
      <c r="M130" s="261">
        <f t="shared" si="14"/>
        <v>0</v>
      </c>
      <c r="N130" s="234">
        <v>90000</v>
      </c>
      <c r="O130" s="234">
        <f t="shared" si="20"/>
        <v>0</v>
      </c>
      <c r="P130" s="143">
        <v>131428.57142857145</v>
      </c>
      <c r="Q130" s="261">
        <f t="shared" si="15"/>
        <v>0</v>
      </c>
      <c r="R130" s="281">
        <v>90000</v>
      </c>
      <c r="S130" s="234">
        <f t="shared" si="16"/>
        <v>0</v>
      </c>
      <c r="T130" s="22">
        <v>131428.57142857145</v>
      </c>
      <c r="U130" s="261">
        <f t="shared" si="17"/>
        <v>0</v>
      </c>
      <c r="V130" s="281">
        <v>90000</v>
      </c>
      <c r="W130" s="234">
        <f t="shared" si="18"/>
        <v>0</v>
      </c>
      <c r="X130" s="22">
        <v>131428.57142857145</v>
      </c>
      <c r="Y130" s="261">
        <f t="shared" si="19"/>
        <v>0</v>
      </c>
    </row>
    <row r="131" spans="1:25">
      <c r="A131" s="2"/>
      <c r="B131" s="71">
        <v>127</v>
      </c>
      <c r="C131" s="199" t="s">
        <v>646</v>
      </c>
      <c r="D131" s="234">
        <v>98000</v>
      </c>
      <c r="E131" s="143">
        <v>134285.71428571429</v>
      </c>
      <c r="F131">
        <v>98000</v>
      </c>
      <c r="G131" s="234">
        <f t="shared" si="11"/>
        <v>0</v>
      </c>
      <c r="H131">
        <v>134285.71428571429</v>
      </c>
      <c r="I131" s="261">
        <f t="shared" si="12"/>
        <v>0</v>
      </c>
      <c r="J131">
        <v>98000</v>
      </c>
      <c r="K131" s="234">
        <f t="shared" si="13"/>
        <v>0</v>
      </c>
      <c r="L131" s="143">
        <v>134285.71428571429</v>
      </c>
      <c r="M131" s="261">
        <f t="shared" si="14"/>
        <v>0</v>
      </c>
      <c r="N131" s="234">
        <v>98000</v>
      </c>
      <c r="O131" s="234">
        <f t="shared" si="20"/>
        <v>0</v>
      </c>
      <c r="P131" s="143">
        <v>132857.14285714287</v>
      </c>
      <c r="Q131" s="261">
        <f t="shared" si="15"/>
        <v>-1428.5714285714203</v>
      </c>
      <c r="R131" s="281">
        <v>98000</v>
      </c>
      <c r="S131" s="234">
        <f t="shared" si="16"/>
        <v>0</v>
      </c>
      <c r="T131" s="22">
        <v>132857.14285714287</v>
      </c>
      <c r="U131" s="261">
        <f t="shared" si="17"/>
        <v>0</v>
      </c>
      <c r="V131" s="281">
        <v>98000</v>
      </c>
      <c r="W131" s="234">
        <f t="shared" si="18"/>
        <v>0</v>
      </c>
      <c r="X131" s="22">
        <v>132857.14285714287</v>
      </c>
      <c r="Y131" s="261">
        <f t="shared" si="19"/>
        <v>0</v>
      </c>
    </row>
    <row r="132" spans="1:25">
      <c r="A132" s="2"/>
      <c r="B132" s="2">
        <v>128</v>
      </c>
      <c r="C132" s="196" t="s">
        <v>170</v>
      </c>
      <c r="D132" s="234">
        <v>105000</v>
      </c>
      <c r="E132" s="143">
        <v>154285.71428571429</v>
      </c>
      <c r="F132">
        <v>105000</v>
      </c>
      <c r="G132" s="234">
        <f t="shared" si="11"/>
        <v>0</v>
      </c>
      <c r="H132">
        <v>154285.71428571429</v>
      </c>
      <c r="I132" s="261">
        <f t="shared" si="12"/>
        <v>0</v>
      </c>
      <c r="J132">
        <v>105000</v>
      </c>
      <c r="K132" s="234">
        <f t="shared" si="13"/>
        <v>0</v>
      </c>
      <c r="L132" s="143">
        <v>154285.71428571429</v>
      </c>
      <c r="M132" s="261">
        <f t="shared" si="14"/>
        <v>0</v>
      </c>
      <c r="N132" s="234">
        <v>105000</v>
      </c>
      <c r="O132" s="234">
        <f t="shared" si="20"/>
        <v>0</v>
      </c>
      <c r="P132" s="143">
        <v>154285.71428571429</v>
      </c>
      <c r="Q132" s="261">
        <f t="shared" si="15"/>
        <v>0</v>
      </c>
      <c r="R132" s="281">
        <v>105000</v>
      </c>
      <c r="S132" s="234">
        <f t="shared" si="16"/>
        <v>0</v>
      </c>
      <c r="T132" s="22">
        <v>154285.71428571429</v>
      </c>
      <c r="U132" s="261">
        <f t="shared" si="17"/>
        <v>0</v>
      </c>
      <c r="V132" s="281">
        <v>105000</v>
      </c>
      <c r="W132" s="234">
        <f t="shared" si="18"/>
        <v>0</v>
      </c>
      <c r="X132" s="22">
        <v>154285.71428571429</v>
      </c>
      <c r="Y132" s="261">
        <f t="shared" si="19"/>
        <v>0</v>
      </c>
    </row>
    <row r="133" spans="1:25">
      <c r="A133" s="2"/>
      <c r="B133" s="71">
        <v>129</v>
      </c>
      <c r="C133" s="196" t="s">
        <v>172</v>
      </c>
      <c r="D133" s="234">
        <v>81650</v>
      </c>
      <c r="E133" s="143">
        <v>119500.00000000001</v>
      </c>
      <c r="F133">
        <v>81650</v>
      </c>
      <c r="G133" s="234">
        <f t="shared" si="11"/>
        <v>0</v>
      </c>
      <c r="H133">
        <v>119500.00000000001</v>
      </c>
      <c r="I133" s="261">
        <f t="shared" si="12"/>
        <v>0</v>
      </c>
      <c r="J133">
        <v>81650</v>
      </c>
      <c r="K133" s="234">
        <f t="shared" si="13"/>
        <v>0</v>
      </c>
      <c r="L133" s="143">
        <v>119500.00000000001</v>
      </c>
      <c r="M133" s="261">
        <f t="shared" si="14"/>
        <v>0</v>
      </c>
      <c r="N133" s="234">
        <v>81650</v>
      </c>
      <c r="O133" s="234">
        <f t="shared" si="20"/>
        <v>0</v>
      </c>
      <c r="P133" s="143">
        <v>119500.00000000001</v>
      </c>
      <c r="Q133" s="261">
        <f t="shared" si="15"/>
        <v>0</v>
      </c>
      <c r="R133" s="281">
        <v>81650</v>
      </c>
      <c r="S133" s="234">
        <f t="shared" si="16"/>
        <v>0</v>
      </c>
      <c r="T133" s="22">
        <v>119500.00000000001</v>
      </c>
      <c r="U133" s="261">
        <f t="shared" si="17"/>
        <v>0</v>
      </c>
      <c r="V133" s="281">
        <v>81650</v>
      </c>
      <c r="W133" s="234">
        <f t="shared" si="18"/>
        <v>0</v>
      </c>
      <c r="X133" s="22">
        <v>119500.00000000001</v>
      </c>
      <c r="Y133" s="261">
        <f t="shared" si="19"/>
        <v>0</v>
      </c>
    </row>
    <row r="134" spans="1:25">
      <c r="A134" s="2"/>
      <c r="B134" s="71">
        <v>130</v>
      </c>
      <c r="C134" s="199" t="s">
        <v>171</v>
      </c>
      <c r="D134" s="234">
        <v>97500</v>
      </c>
      <c r="E134" s="143">
        <v>143571.42857142858</v>
      </c>
      <c r="F134">
        <v>97500</v>
      </c>
      <c r="G134" s="234">
        <f t="shared" ref="G134:G197" si="21">F134-D134</f>
        <v>0</v>
      </c>
      <c r="H134">
        <v>143571.42857142858</v>
      </c>
      <c r="I134" s="261">
        <f t="shared" ref="I134:I197" si="22">H134-E134</f>
        <v>0</v>
      </c>
      <c r="J134">
        <v>97500</v>
      </c>
      <c r="K134" s="234">
        <f t="shared" ref="K134:K197" si="23">J134-F134</f>
        <v>0</v>
      </c>
      <c r="L134" s="143">
        <v>143571.42857142858</v>
      </c>
      <c r="M134" s="261">
        <f t="shared" ref="M134:M197" si="24">L134-H134</f>
        <v>0</v>
      </c>
      <c r="N134" s="234">
        <v>97500</v>
      </c>
      <c r="O134" s="234">
        <f t="shared" ref="O134:O197" si="25">N134-J134</f>
        <v>0</v>
      </c>
      <c r="P134" s="143">
        <v>143571.42857142858</v>
      </c>
      <c r="Q134" s="261">
        <f t="shared" ref="Q134:Q197" si="26">P134-L134</f>
        <v>0</v>
      </c>
      <c r="R134" s="281">
        <v>97500</v>
      </c>
      <c r="S134" s="234">
        <f t="shared" ref="S134:S197" si="27">R134-N134</f>
        <v>0</v>
      </c>
      <c r="T134" s="22">
        <v>143571.42857142858</v>
      </c>
      <c r="U134" s="261">
        <f t="shared" ref="U134:U197" si="28">T134-P134</f>
        <v>0</v>
      </c>
      <c r="V134" s="281">
        <v>97500</v>
      </c>
      <c r="W134" s="234">
        <f t="shared" ref="W134:W197" si="29">V134-R134</f>
        <v>0</v>
      </c>
      <c r="X134" s="22">
        <v>143571.42857142858</v>
      </c>
      <c r="Y134" s="261">
        <f t="shared" ref="Y134:Y197" si="30">X134-T134</f>
        <v>0</v>
      </c>
    </row>
    <row r="135" spans="1:25">
      <c r="A135" s="2"/>
      <c r="B135" s="2">
        <v>131</v>
      </c>
      <c r="C135" s="196" t="s">
        <v>174</v>
      </c>
      <c r="D135" s="234">
        <v>100000</v>
      </c>
      <c r="E135" s="143">
        <v>147142.85714285716</v>
      </c>
      <c r="F135">
        <v>100000</v>
      </c>
      <c r="G135" s="234">
        <f t="shared" si="21"/>
        <v>0</v>
      </c>
      <c r="H135">
        <v>147142.85714285716</v>
      </c>
      <c r="I135" s="261">
        <f t="shared" si="22"/>
        <v>0</v>
      </c>
      <c r="J135">
        <v>100000</v>
      </c>
      <c r="K135" s="234">
        <f t="shared" si="23"/>
        <v>0</v>
      </c>
      <c r="L135" s="143">
        <v>147142.85714285716</v>
      </c>
      <c r="M135" s="261">
        <f t="shared" si="24"/>
        <v>0</v>
      </c>
      <c r="N135" s="234">
        <v>100000</v>
      </c>
      <c r="O135" s="234">
        <f t="shared" si="25"/>
        <v>0</v>
      </c>
      <c r="P135" s="143">
        <v>147142.85714285716</v>
      </c>
      <c r="Q135" s="261">
        <f t="shared" si="26"/>
        <v>0</v>
      </c>
      <c r="R135" s="281">
        <v>100000</v>
      </c>
      <c r="S135" s="234">
        <f t="shared" si="27"/>
        <v>0</v>
      </c>
      <c r="T135" s="22">
        <v>147142.85714285716</v>
      </c>
      <c r="U135" s="261">
        <f t="shared" si="28"/>
        <v>0</v>
      </c>
      <c r="V135" s="281">
        <v>100000</v>
      </c>
      <c r="W135" s="234">
        <f t="shared" si="29"/>
        <v>0</v>
      </c>
      <c r="X135" s="22">
        <v>147142.85714285716</v>
      </c>
      <c r="Y135" s="261">
        <f t="shared" si="30"/>
        <v>0</v>
      </c>
    </row>
    <row r="136" spans="1:25">
      <c r="A136" s="2"/>
      <c r="B136" s="71">
        <v>132</v>
      </c>
      <c r="C136" s="196" t="s">
        <v>176</v>
      </c>
      <c r="D136" s="234">
        <v>85950</v>
      </c>
      <c r="E136" s="143">
        <v>127071.42857142858</v>
      </c>
      <c r="F136">
        <v>85950</v>
      </c>
      <c r="G136" s="234">
        <f t="shared" si="21"/>
        <v>0</v>
      </c>
      <c r="H136">
        <v>127071.42857142858</v>
      </c>
      <c r="I136" s="261">
        <f t="shared" si="22"/>
        <v>0</v>
      </c>
      <c r="J136">
        <v>85950</v>
      </c>
      <c r="K136" s="234">
        <f t="shared" si="23"/>
        <v>0</v>
      </c>
      <c r="L136" s="143">
        <v>127071.42857142858</v>
      </c>
      <c r="M136" s="261">
        <f t="shared" si="24"/>
        <v>0</v>
      </c>
      <c r="N136" s="234">
        <v>85950</v>
      </c>
      <c r="O136" s="234">
        <f t="shared" si="25"/>
        <v>0</v>
      </c>
      <c r="P136" s="143">
        <v>127071.42857142858</v>
      </c>
      <c r="Q136" s="261">
        <f t="shared" si="26"/>
        <v>0</v>
      </c>
      <c r="R136" s="281">
        <v>85950</v>
      </c>
      <c r="S136" s="234">
        <f t="shared" si="27"/>
        <v>0</v>
      </c>
      <c r="T136" s="22">
        <v>127071.42857142858</v>
      </c>
      <c r="U136" s="261">
        <f t="shared" si="28"/>
        <v>0</v>
      </c>
      <c r="V136" s="281">
        <v>85950</v>
      </c>
      <c r="W136" s="234">
        <f t="shared" si="29"/>
        <v>0</v>
      </c>
      <c r="X136" s="22">
        <v>127071.42857142858</v>
      </c>
      <c r="Y136" s="261">
        <f t="shared" si="30"/>
        <v>0</v>
      </c>
    </row>
    <row r="137" spans="1:25">
      <c r="A137" s="2"/>
      <c r="B137" s="71">
        <v>133</v>
      </c>
      <c r="C137" s="196" t="s">
        <v>175</v>
      </c>
      <c r="D137" s="234">
        <v>75950</v>
      </c>
      <c r="E137" s="143">
        <v>112785.71428571429</v>
      </c>
      <c r="F137">
        <v>75950</v>
      </c>
      <c r="G137" s="234">
        <f t="shared" si="21"/>
        <v>0</v>
      </c>
      <c r="H137">
        <v>112785.71428571429</v>
      </c>
      <c r="I137" s="261">
        <f t="shared" si="22"/>
        <v>0</v>
      </c>
      <c r="J137">
        <v>75950</v>
      </c>
      <c r="K137" s="234">
        <f t="shared" si="23"/>
        <v>0</v>
      </c>
      <c r="L137" s="143">
        <v>112785.71428571429</v>
      </c>
      <c r="M137" s="261">
        <f t="shared" si="24"/>
        <v>0</v>
      </c>
      <c r="N137" s="234">
        <v>75950</v>
      </c>
      <c r="O137" s="234">
        <f t="shared" si="25"/>
        <v>0</v>
      </c>
      <c r="P137" s="143">
        <v>112785.71428571429</v>
      </c>
      <c r="Q137" s="261">
        <f t="shared" si="26"/>
        <v>0</v>
      </c>
      <c r="R137" s="281">
        <v>75950</v>
      </c>
      <c r="S137" s="234">
        <f t="shared" si="27"/>
        <v>0</v>
      </c>
      <c r="T137" s="22">
        <v>112785.71428571429</v>
      </c>
      <c r="U137" s="261">
        <f t="shared" si="28"/>
        <v>0</v>
      </c>
      <c r="V137" s="281">
        <v>75950</v>
      </c>
      <c r="W137" s="234">
        <f t="shared" si="29"/>
        <v>0</v>
      </c>
      <c r="X137" s="22">
        <v>112785.71428571429</v>
      </c>
      <c r="Y137" s="261">
        <f t="shared" si="30"/>
        <v>0</v>
      </c>
    </row>
    <row r="138" spans="1:25">
      <c r="A138" s="2"/>
      <c r="B138" s="2">
        <v>134</v>
      </c>
      <c r="C138" s="204" t="s">
        <v>647</v>
      </c>
      <c r="D138" s="234">
        <v>85000</v>
      </c>
      <c r="E138" s="143">
        <v>124285.71428571429</v>
      </c>
      <c r="F138">
        <v>85000</v>
      </c>
      <c r="G138" s="234">
        <f t="shared" si="21"/>
        <v>0</v>
      </c>
      <c r="H138">
        <v>124285.71428571429</v>
      </c>
      <c r="I138" s="261">
        <f t="shared" si="22"/>
        <v>0</v>
      </c>
      <c r="J138">
        <v>85000</v>
      </c>
      <c r="K138" s="234">
        <f t="shared" si="23"/>
        <v>0</v>
      </c>
      <c r="L138" s="143">
        <v>124285.71428571429</v>
      </c>
      <c r="M138" s="261">
        <f t="shared" si="24"/>
        <v>0</v>
      </c>
      <c r="N138" s="234">
        <v>85000</v>
      </c>
      <c r="O138" s="234">
        <f t="shared" si="25"/>
        <v>0</v>
      </c>
      <c r="P138" s="143">
        <v>124285.71428571429</v>
      </c>
      <c r="Q138" s="261">
        <f t="shared" si="26"/>
        <v>0</v>
      </c>
      <c r="R138" s="281">
        <v>85000</v>
      </c>
      <c r="S138" s="234">
        <f t="shared" si="27"/>
        <v>0</v>
      </c>
      <c r="T138" s="22">
        <v>124285.71428571429</v>
      </c>
      <c r="U138" s="261">
        <f t="shared" si="28"/>
        <v>0</v>
      </c>
      <c r="V138" s="281">
        <v>85000</v>
      </c>
      <c r="W138" s="234">
        <f t="shared" si="29"/>
        <v>0</v>
      </c>
      <c r="X138" s="22">
        <v>124285.71428571429</v>
      </c>
      <c r="Y138" s="261">
        <f t="shared" si="30"/>
        <v>0</v>
      </c>
    </row>
    <row r="139" spans="1:25">
      <c r="A139" s="2"/>
      <c r="B139" s="71">
        <v>135</v>
      </c>
      <c r="C139" s="204" t="s">
        <v>648</v>
      </c>
      <c r="D139" s="234">
        <v>85000</v>
      </c>
      <c r="E139" s="143">
        <v>127142.85714285714</v>
      </c>
      <c r="F139">
        <v>85000</v>
      </c>
      <c r="G139" s="234">
        <f t="shared" si="21"/>
        <v>0</v>
      </c>
      <c r="H139">
        <v>127142.85714285714</v>
      </c>
      <c r="I139" s="261">
        <f t="shared" si="22"/>
        <v>0</v>
      </c>
      <c r="J139">
        <v>85000</v>
      </c>
      <c r="K139" s="234">
        <f t="shared" si="23"/>
        <v>0</v>
      </c>
      <c r="L139" s="143">
        <v>127142.85714285714</v>
      </c>
      <c r="M139" s="261">
        <f t="shared" si="24"/>
        <v>0</v>
      </c>
      <c r="N139" s="234">
        <v>85000</v>
      </c>
      <c r="O139" s="234">
        <f t="shared" si="25"/>
        <v>0</v>
      </c>
      <c r="P139" s="143">
        <v>127142.85714285714</v>
      </c>
      <c r="Q139" s="261">
        <f t="shared" si="26"/>
        <v>0</v>
      </c>
      <c r="R139" s="281">
        <v>85000</v>
      </c>
      <c r="S139" s="234">
        <f t="shared" si="27"/>
        <v>0</v>
      </c>
      <c r="T139" s="22">
        <v>127142.85714285714</v>
      </c>
      <c r="U139" s="261">
        <f t="shared" si="28"/>
        <v>0</v>
      </c>
      <c r="V139" s="281">
        <v>85000</v>
      </c>
      <c r="W139" s="234">
        <f t="shared" si="29"/>
        <v>0</v>
      </c>
      <c r="X139" s="22">
        <v>127142.85714285714</v>
      </c>
      <c r="Y139" s="261">
        <f t="shared" si="30"/>
        <v>0</v>
      </c>
    </row>
    <row r="140" spans="1:25">
      <c r="A140" s="2"/>
      <c r="B140" s="71">
        <v>136</v>
      </c>
      <c r="C140" s="197" t="s">
        <v>179</v>
      </c>
      <c r="D140" s="234">
        <v>82500</v>
      </c>
      <c r="E140" s="143">
        <v>120714.28571428572</v>
      </c>
      <c r="F140">
        <v>82500</v>
      </c>
      <c r="G140" s="234">
        <f t="shared" si="21"/>
        <v>0</v>
      </c>
      <c r="H140">
        <v>122142.85714285714</v>
      </c>
      <c r="I140" s="261">
        <f t="shared" si="22"/>
        <v>1428.5714285714203</v>
      </c>
      <c r="J140">
        <v>82500</v>
      </c>
      <c r="K140" s="234">
        <f t="shared" si="23"/>
        <v>0</v>
      </c>
      <c r="L140" s="143">
        <v>122142.85714285714</v>
      </c>
      <c r="M140" s="261">
        <f t="shared" si="24"/>
        <v>0</v>
      </c>
      <c r="N140" s="234">
        <v>82500</v>
      </c>
      <c r="O140" s="234">
        <f t="shared" si="25"/>
        <v>0</v>
      </c>
      <c r="P140" s="143">
        <v>125000.00000000001</v>
      </c>
      <c r="Q140" s="261">
        <f t="shared" si="26"/>
        <v>2857.1428571428696</v>
      </c>
      <c r="R140" s="281">
        <v>82500</v>
      </c>
      <c r="S140" s="234">
        <f t="shared" si="27"/>
        <v>0</v>
      </c>
      <c r="T140" s="22">
        <v>125000.00000000001</v>
      </c>
      <c r="U140" s="261">
        <f t="shared" si="28"/>
        <v>0</v>
      </c>
      <c r="V140" s="281">
        <v>82500</v>
      </c>
      <c r="W140" s="234">
        <f t="shared" si="29"/>
        <v>0</v>
      </c>
      <c r="X140" s="22">
        <v>125000.00000000001</v>
      </c>
      <c r="Y140" s="261">
        <f t="shared" si="30"/>
        <v>0</v>
      </c>
    </row>
    <row r="141" spans="1:25">
      <c r="A141" s="2"/>
      <c r="B141" s="2">
        <v>137</v>
      </c>
      <c r="C141" s="197" t="s">
        <v>180</v>
      </c>
      <c r="D141" s="234">
        <v>95000</v>
      </c>
      <c r="E141" s="143">
        <v>138571.42857142858</v>
      </c>
      <c r="F141">
        <v>95000</v>
      </c>
      <c r="G141" s="234">
        <f t="shared" si="21"/>
        <v>0</v>
      </c>
      <c r="H141">
        <v>140000</v>
      </c>
      <c r="I141" s="261">
        <f t="shared" si="22"/>
        <v>1428.5714285714203</v>
      </c>
      <c r="J141">
        <v>95000</v>
      </c>
      <c r="K141" s="234">
        <f t="shared" si="23"/>
        <v>0</v>
      </c>
      <c r="L141" s="143">
        <v>140000</v>
      </c>
      <c r="M141" s="261">
        <f t="shared" si="24"/>
        <v>0</v>
      </c>
      <c r="N141" s="234">
        <v>95000</v>
      </c>
      <c r="O141" s="234">
        <f t="shared" si="25"/>
        <v>0</v>
      </c>
      <c r="P141" s="143">
        <v>142857.14285714287</v>
      </c>
      <c r="Q141" s="261">
        <f t="shared" si="26"/>
        <v>2857.1428571428696</v>
      </c>
      <c r="R141" s="281">
        <v>95000</v>
      </c>
      <c r="S141" s="234">
        <f t="shared" si="27"/>
        <v>0</v>
      </c>
      <c r="T141" s="22">
        <v>142857.14285714287</v>
      </c>
      <c r="U141" s="261">
        <f t="shared" si="28"/>
        <v>0</v>
      </c>
      <c r="V141" s="281">
        <v>95000</v>
      </c>
      <c r="W141" s="234">
        <f t="shared" si="29"/>
        <v>0</v>
      </c>
      <c r="X141" s="22">
        <v>142857.14285714287</v>
      </c>
      <c r="Y141" s="261">
        <f t="shared" si="30"/>
        <v>0</v>
      </c>
    </row>
    <row r="142" spans="1:25">
      <c r="A142" s="2"/>
      <c r="B142" s="71">
        <v>138</v>
      </c>
      <c r="C142" s="197" t="s">
        <v>181</v>
      </c>
      <c r="D142" s="234">
        <v>85000</v>
      </c>
      <c r="E142" s="143">
        <v>124285.71428571429</v>
      </c>
      <c r="F142">
        <v>85000</v>
      </c>
      <c r="G142" s="234">
        <f t="shared" si="21"/>
        <v>0</v>
      </c>
      <c r="H142">
        <v>125714.28571428572</v>
      </c>
      <c r="I142" s="261">
        <f t="shared" si="22"/>
        <v>1428.5714285714348</v>
      </c>
      <c r="J142">
        <v>85000</v>
      </c>
      <c r="K142" s="234">
        <f t="shared" si="23"/>
        <v>0</v>
      </c>
      <c r="L142" s="143">
        <v>125714.28571428572</v>
      </c>
      <c r="M142" s="261">
        <f t="shared" si="24"/>
        <v>0</v>
      </c>
      <c r="N142" s="234">
        <v>85000</v>
      </c>
      <c r="O142" s="234">
        <f t="shared" si="25"/>
        <v>0</v>
      </c>
      <c r="P142" s="143">
        <v>128571.42857142858</v>
      </c>
      <c r="Q142" s="261">
        <f t="shared" si="26"/>
        <v>2857.1428571428551</v>
      </c>
      <c r="R142" s="281">
        <v>85000</v>
      </c>
      <c r="S142" s="234">
        <f t="shared" si="27"/>
        <v>0</v>
      </c>
      <c r="T142" s="22">
        <v>128571.42857142858</v>
      </c>
      <c r="U142" s="261">
        <f t="shared" si="28"/>
        <v>0</v>
      </c>
      <c r="V142" s="281">
        <v>85000</v>
      </c>
      <c r="W142" s="234">
        <f t="shared" si="29"/>
        <v>0</v>
      </c>
      <c r="X142" s="22">
        <v>128571.42857142858</v>
      </c>
      <c r="Y142" s="261">
        <f t="shared" si="30"/>
        <v>0</v>
      </c>
    </row>
    <row r="143" spans="1:25">
      <c r="A143" s="2"/>
      <c r="B143" s="71">
        <v>139</v>
      </c>
      <c r="C143" s="197" t="s">
        <v>182</v>
      </c>
      <c r="D143" s="234">
        <v>85650</v>
      </c>
      <c r="E143" s="143">
        <v>125214.28571428572</v>
      </c>
      <c r="F143">
        <v>85650</v>
      </c>
      <c r="G143" s="234">
        <f t="shared" si="21"/>
        <v>0</v>
      </c>
      <c r="H143">
        <v>126642.85714285714</v>
      </c>
      <c r="I143" s="261">
        <f t="shared" si="22"/>
        <v>1428.5714285714203</v>
      </c>
      <c r="J143">
        <v>85650</v>
      </c>
      <c r="K143" s="234">
        <f t="shared" si="23"/>
        <v>0</v>
      </c>
      <c r="L143" s="143">
        <v>126642.85714285714</v>
      </c>
      <c r="M143" s="261">
        <f t="shared" si="24"/>
        <v>0</v>
      </c>
      <c r="N143" s="234">
        <v>85650</v>
      </c>
      <c r="O143" s="234">
        <f t="shared" si="25"/>
        <v>0</v>
      </c>
      <c r="P143" s="143">
        <v>129500.00000000001</v>
      </c>
      <c r="Q143" s="261">
        <f t="shared" si="26"/>
        <v>2857.1428571428696</v>
      </c>
      <c r="R143" s="281">
        <v>85650</v>
      </c>
      <c r="S143" s="234">
        <f t="shared" si="27"/>
        <v>0</v>
      </c>
      <c r="T143" s="22">
        <v>129500.00000000001</v>
      </c>
      <c r="U143" s="261">
        <f t="shared" si="28"/>
        <v>0</v>
      </c>
      <c r="V143" s="281">
        <v>85650</v>
      </c>
      <c r="W143" s="234">
        <f t="shared" si="29"/>
        <v>0</v>
      </c>
      <c r="X143" s="22">
        <v>129500.00000000001</v>
      </c>
      <c r="Y143" s="261">
        <f t="shared" si="30"/>
        <v>0</v>
      </c>
    </row>
    <row r="144" spans="1:25">
      <c r="A144" s="2"/>
      <c r="B144" s="2">
        <v>140</v>
      </c>
      <c r="C144" s="197" t="s">
        <v>183</v>
      </c>
      <c r="D144" s="234">
        <v>85000</v>
      </c>
      <c r="E144" s="143">
        <v>124285.71428571429</v>
      </c>
      <c r="F144">
        <v>85000</v>
      </c>
      <c r="G144" s="234">
        <f t="shared" si="21"/>
        <v>0</v>
      </c>
      <c r="H144">
        <v>125714.28571428572</v>
      </c>
      <c r="I144" s="261">
        <f t="shared" si="22"/>
        <v>1428.5714285714348</v>
      </c>
      <c r="J144">
        <v>85000</v>
      </c>
      <c r="K144" s="234">
        <f t="shared" si="23"/>
        <v>0</v>
      </c>
      <c r="L144" s="143">
        <v>125714.28571428572</v>
      </c>
      <c r="M144" s="261">
        <f t="shared" si="24"/>
        <v>0</v>
      </c>
      <c r="N144" s="234">
        <v>85000</v>
      </c>
      <c r="O144" s="234">
        <f t="shared" si="25"/>
        <v>0</v>
      </c>
      <c r="P144" s="143">
        <v>128571.42857142858</v>
      </c>
      <c r="Q144" s="261">
        <f t="shared" si="26"/>
        <v>2857.1428571428551</v>
      </c>
      <c r="R144" s="281">
        <v>85000</v>
      </c>
      <c r="S144" s="234">
        <f t="shared" si="27"/>
        <v>0</v>
      </c>
      <c r="T144" s="22">
        <v>128571.42857142858</v>
      </c>
      <c r="U144" s="261">
        <f t="shared" si="28"/>
        <v>0</v>
      </c>
      <c r="V144" s="281">
        <v>85000</v>
      </c>
      <c r="W144" s="234">
        <f t="shared" si="29"/>
        <v>0</v>
      </c>
      <c r="X144" s="22">
        <v>128571.42857142858</v>
      </c>
      <c r="Y144" s="261">
        <f t="shared" si="30"/>
        <v>0</v>
      </c>
    </row>
    <row r="145" spans="1:25">
      <c r="A145" s="2"/>
      <c r="B145" s="71">
        <v>141</v>
      </c>
      <c r="C145" s="197" t="s">
        <v>184</v>
      </c>
      <c r="D145" s="234">
        <v>85000</v>
      </c>
      <c r="E145" s="143">
        <v>124285.71428571429</v>
      </c>
      <c r="F145">
        <v>85000</v>
      </c>
      <c r="G145" s="234">
        <f t="shared" si="21"/>
        <v>0</v>
      </c>
      <c r="H145">
        <v>125714.28571428572</v>
      </c>
      <c r="I145" s="261">
        <f t="shared" si="22"/>
        <v>1428.5714285714348</v>
      </c>
      <c r="J145">
        <v>85000</v>
      </c>
      <c r="K145" s="234">
        <f t="shared" si="23"/>
        <v>0</v>
      </c>
      <c r="L145" s="143">
        <v>125714.28571428572</v>
      </c>
      <c r="M145" s="261">
        <f t="shared" si="24"/>
        <v>0</v>
      </c>
      <c r="N145" s="234">
        <v>85000</v>
      </c>
      <c r="O145" s="234">
        <f t="shared" si="25"/>
        <v>0</v>
      </c>
      <c r="P145" s="143">
        <v>128571.42857142858</v>
      </c>
      <c r="Q145" s="261">
        <f t="shared" si="26"/>
        <v>2857.1428571428551</v>
      </c>
      <c r="R145" s="281">
        <v>85000</v>
      </c>
      <c r="S145" s="234">
        <f t="shared" si="27"/>
        <v>0</v>
      </c>
      <c r="T145" s="22">
        <v>128571.42857142858</v>
      </c>
      <c r="U145" s="261">
        <f t="shared" si="28"/>
        <v>0</v>
      </c>
      <c r="V145" s="281">
        <v>85000</v>
      </c>
      <c r="W145" s="234">
        <f t="shared" si="29"/>
        <v>0</v>
      </c>
      <c r="X145" s="22">
        <v>128571.42857142858</v>
      </c>
      <c r="Y145" s="261">
        <f t="shared" si="30"/>
        <v>0</v>
      </c>
    </row>
    <row r="146" spans="1:25">
      <c r="A146" s="2"/>
      <c r="B146" s="71">
        <v>142</v>
      </c>
      <c r="C146" s="204" t="s">
        <v>649</v>
      </c>
      <c r="D146" s="234">
        <v>85000</v>
      </c>
      <c r="E146" s="143">
        <v>128571.42857142858</v>
      </c>
      <c r="F146">
        <v>85000</v>
      </c>
      <c r="G146" s="234">
        <f t="shared" si="21"/>
        <v>0</v>
      </c>
      <c r="H146">
        <v>128571.42857142858</v>
      </c>
      <c r="I146" s="261">
        <f t="shared" si="22"/>
        <v>0</v>
      </c>
      <c r="J146">
        <v>85000</v>
      </c>
      <c r="K146" s="234">
        <f t="shared" si="23"/>
        <v>0</v>
      </c>
      <c r="L146" s="143">
        <v>128571.42857142858</v>
      </c>
      <c r="M146" s="261">
        <f t="shared" si="24"/>
        <v>0</v>
      </c>
      <c r="N146" s="234">
        <v>85000</v>
      </c>
      <c r="O146" s="234">
        <f t="shared" si="25"/>
        <v>0</v>
      </c>
      <c r="P146" s="143">
        <v>128571.42857142858</v>
      </c>
      <c r="Q146" s="261">
        <f t="shared" si="26"/>
        <v>0</v>
      </c>
      <c r="R146" s="281">
        <v>85000</v>
      </c>
      <c r="S146" s="234">
        <f t="shared" si="27"/>
        <v>0</v>
      </c>
      <c r="T146" s="22">
        <v>128571.42857142858</v>
      </c>
      <c r="U146" s="261">
        <f t="shared" si="28"/>
        <v>0</v>
      </c>
      <c r="V146" s="281">
        <v>85000</v>
      </c>
      <c r="W146" s="234">
        <f t="shared" si="29"/>
        <v>0</v>
      </c>
      <c r="X146" s="22">
        <v>128571.42857142858</v>
      </c>
      <c r="Y146" s="261">
        <f t="shared" si="30"/>
        <v>0</v>
      </c>
    </row>
    <row r="147" spans="1:25">
      <c r="A147" s="2"/>
      <c r="B147" s="2">
        <v>143</v>
      </c>
      <c r="C147" s="197" t="s">
        <v>185</v>
      </c>
      <c r="D147" s="234">
        <v>85000</v>
      </c>
      <c r="E147" s="143">
        <v>124285.71428571429</v>
      </c>
      <c r="F147">
        <v>85000</v>
      </c>
      <c r="G147" s="234">
        <f t="shared" si="21"/>
        <v>0</v>
      </c>
      <c r="H147">
        <v>125714.28571428572</v>
      </c>
      <c r="I147" s="261">
        <f t="shared" si="22"/>
        <v>1428.5714285714348</v>
      </c>
      <c r="J147">
        <v>85000</v>
      </c>
      <c r="K147" s="234">
        <f t="shared" si="23"/>
        <v>0</v>
      </c>
      <c r="L147" s="143">
        <v>125714.28571428572</v>
      </c>
      <c r="M147" s="261">
        <f t="shared" si="24"/>
        <v>0</v>
      </c>
      <c r="N147" s="234">
        <v>85000</v>
      </c>
      <c r="O147" s="234">
        <f t="shared" si="25"/>
        <v>0</v>
      </c>
      <c r="P147" s="143">
        <v>128571.42857142858</v>
      </c>
      <c r="Q147" s="261">
        <f t="shared" si="26"/>
        <v>2857.1428571428551</v>
      </c>
      <c r="R147" s="281">
        <v>85000</v>
      </c>
      <c r="S147" s="234">
        <f t="shared" si="27"/>
        <v>0</v>
      </c>
      <c r="T147" s="22">
        <v>128571.42857142858</v>
      </c>
      <c r="U147" s="261">
        <f t="shared" si="28"/>
        <v>0</v>
      </c>
      <c r="V147" s="281">
        <v>85000</v>
      </c>
      <c r="W147" s="234">
        <f t="shared" si="29"/>
        <v>0</v>
      </c>
      <c r="X147" s="22">
        <v>128571.42857142858</v>
      </c>
      <c r="Y147" s="261">
        <f t="shared" si="30"/>
        <v>0</v>
      </c>
    </row>
    <row r="148" spans="1:25">
      <c r="A148" s="2"/>
      <c r="B148" s="71">
        <v>144</v>
      </c>
      <c r="C148" s="197" t="s">
        <v>186</v>
      </c>
      <c r="D148" s="234">
        <v>85000</v>
      </c>
      <c r="E148" s="143">
        <v>124285.71428571429</v>
      </c>
      <c r="F148">
        <v>85000</v>
      </c>
      <c r="G148" s="234">
        <f t="shared" si="21"/>
        <v>0</v>
      </c>
      <c r="H148">
        <v>125714.28571428572</v>
      </c>
      <c r="I148" s="261">
        <f t="shared" si="22"/>
        <v>1428.5714285714348</v>
      </c>
      <c r="J148">
        <v>85000</v>
      </c>
      <c r="K148" s="234">
        <f t="shared" si="23"/>
        <v>0</v>
      </c>
      <c r="L148" s="143">
        <v>125714.28571428572</v>
      </c>
      <c r="M148" s="261">
        <f t="shared" si="24"/>
        <v>0</v>
      </c>
      <c r="N148" s="234">
        <v>85000</v>
      </c>
      <c r="O148" s="234">
        <f t="shared" si="25"/>
        <v>0</v>
      </c>
      <c r="P148" s="143">
        <v>128571.42857142858</v>
      </c>
      <c r="Q148" s="261">
        <f t="shared" si="26"/>
        <v>2857.1428571428551</v>
      </c>
      <c r="R148" s="281">
        <v>85000</v>
      </c>
      <c r="S148" s="234">
        <f t="shared" si="27"/>
        <v>0</v>
      </c>
      <c r="T148" s="22">
        <v>128571.42857142858</v>
      </c>
      <c r="U148" s="261">
        <f t="shared" si="28"/>
        <v>0</v>
      </c>
      <c r="V148" s="281">
        <v>85000</v>
      </c>
      <c r="W148" s="234">
        <f t="shared" si="29"/>
        <v>0</v>
      </c>
      <c r="X148" s="22">
        <v>128571.42857142858</v>
      </c>
      <c r="Y148" s="261">
        <f t="shared" si="30"/>
        <v>0</v>
      </c>
    </row>
    <row r="149" spans="1:25">
      <c r="A149" s="2"/>
      <c r="B149" s="71">
        <v>145</v>
      </c>
      <c r="C149" s="204" t="s">
        <v>650</v>
      </c>
      <c r="D149" s="234">
        <v>82500</v>
      </c>
      <c r="E149" s="143">
        <v>122142.85714285714</v>
      </c>
      <c r="F149">
        <v>82500</v>
      </c>
      <c r="G149" s="234">
        <f t="shared" si="21"/>
        <v>0</v>
      </c>
      <c r="H149">
        <v>122142.85714285714</v>
      </c>
      <c r="I149" s="261">
        <f t="shared" si="22"/>
        <v>0</v>
      </c>
      <c r="J149">
        <v>82500</v>
      </c>
      <c r="K149" s="234">
        <f t="shared" si="23"/>
        <v>0</v>
      </c>
      <c r="L149" s="143">
        <v>122142.85714285714</v>
      </c>
      <c r="M149" s="261">
        <f t="shared" si="24"/>
        <v>0</v>
      </c>
      <c r="N149" s="234">
        <v>82500</v>
      </c>
      <c r="O149" s="234">
        <f t="shared" si="25"/>
        <v>0</v>
      </c>
      <c r="P149" s="143">
        <v>122142.85714285714</v>
      </c>
      <c r="Q149" s="261">
        <f t="shared" si="26"/>
        <v>0</v>
      </c>
      <c r="R149" s="281">
        <v>82500</v>
      </c>
      <c r="S149" s="234">
        <f t="shared" si="27"/>
        <v>0</v>
      </c>
      <c r="T149" s="22">
        <v>122142.85714285714</v>
      </c>
      <c r="U149" s="261">
        <f t="shared" si="28"/>
        <v>0</v>
      </c>
      <c r="V149" s="281">
        <v>82500</v>
      </c>
      <c r="W149" s="234">
        <f t="shared" si="29"/>
        <v>0</v>
      </c>
      <c r="X149" s="22">
        <v>122142.85714285714</v>
      </c>
      <c r="Y149" s="261">
        <f t="shared" si="30"/>
        <v>0</v>
      </c>
    </row>
    <row r="150" spans="1:25">
      <c r="A150" s="2"/>
      <c r="B150" s="2">
        <v>146</v>
      </c>
      <c r="C150" s="196" t="s">
        <v>187</v>
      </c>
      <c r="D150" s="234">
        <v>84000</v>
      </c>
      <c r="E150" s="143">
        <v>124285.71428571429</v>
      </c>
      <c r="F150">
        <v>84000</v>
      </c>
      <c r="G150" s="234">
        <f t="shared" si="21"/>
        <v>0</v>
      </c>
      <c r="H150">
        <v>124285.71428571429</v>
      </c>
      <c r="I150" s="261">
        <f t="shared" si="22"/>
        <v>0</v>
      </c>
      <c r="J150">
        <v>84000</v>
      </c>
      <c r="K150" s="234">
        <f t="shared" si="23"/>
        <v>0</v>
      </c>
      <c r="L150" s="143">
        <v>124285.71428571429</v>
      </c>
      <c r="M150" s="261">
        <f t="shared" si="24"/>
        <v>0</v>
      </c>
      <c r="N150" s="234">
        <v>84000</v>
      </c>
      <c r="O150" s="234">
        <f t="shared" si="25"/>
        <v>0</v>
      </c>
      <c r="P150" s="143">
        <v>124285.71428571429</v>
      </c>
      <c r="Q150" s="261">
        <f t="shared" si="26"/>
        <v>0</v>
      </c>
      <c r="R150" s="281">
        <v>84000</v>
      </c>
      <c r="S150" s="234">
        <f t="shared" si="27"/>
        <v>0</v>
      </c>
      <c r="T150" s="22">
        <v>124285.71428571429</v>
      </c>
      <c r="U150" s="261">
        <f t="shared" si="28"/>
        <v>0</v>
      </c>
      <c r="V150" s="281">
        <v>84000</v>
      </c>
      <c r="W150" s="234">
        <f t="shared" si="29"/>
        <v>0</v>
      </c>
      <c r="X150" s="22">
        <v>124285.71428571429</v>
      </c>
      <c r="Y150" s="261">
        <f t="shared" si="30"/>
        <v>0</v>
      </c>
    </row>
    <row r="151" spans="1:25">
      <c r="A151" s="2"/>
      <c r="B151" s="71">
        <v>147</v>
      </c>
      <c r="C151" s="196" t="s">
        <v>188</v>
      </c>
      <c r="D151" s="234">
        <v>84000</v>
      </c>
      <c r="E151" s="143">
        <v>124285.71428571429</v>
      </c>
      <c r="F151">
        <v>84000</v>
      </c>
      <c r="G151" s="234">
        <f t="shared" si="21"/>
        <v>0</v>
      </c>
      <c r="H151">
        <v>124285.71428571429</v>
      </c>
      <c r="I151" s="261">
        <f t="shared" si="22"/>
        <v>0</v>
      </c>
      <c r="J151">
        <v>84000</v>
      </c>
      <c r="K151" s="234">
        <f t="shared" si="23"/>
        <v>0</v>
      </c>
      <c r="L151" s="143">
        <v>124285.71428571429</v>
      </c>
      <c r="M151" s="261">
        <f t="shared" si="24"/>
        <v>0</v>
      </c>
      <c r="N151" s="234">
        <v>84000</v>
      </c>
      <c r="O151" s="234">
        <f t="shared" si="25"/>
        <v>0</v>
      </c>
      <c r="P151" s="143">
        <v>124285.71428571429</v>
      </c>
      <c r="Q151" s="261">
        <f t="shared" si="26"/>
        <v>0</v>
      </c>
      <c r="R151" s="281">
        <v>84000</v>
      </c>
      <c r="S151" s="234">
        <f t="shared" si="27"/>
        <v>0</v>
      </c>
      <c r="T151" s="22">
        <v>124285.71428571429</v>
      </c>
      <c r="U151" s="261">
        <f t="shared" si="28"/>
        <v>0</v>
      </c>
      <c r="V151" s="281">
        <v>84000</v>
      </c>
      <c r="W151" s="234">
        <f t="shared" si="29"/>
        <v>0</v>
      </c>
      <c r="X151" s="22">
        <v>124285.71428571429</v>
      </c>
      <c r="Y151" s="261">
        <f t="shared" si="30"/>
        <v>0</v>
      </c>
    </row>
    <row r="152" spans="1:25">
      <c r="A152" s="2"/>
      <c r="B152" s="71">
        <v>148</v>
      </c>
      <c r="C152" s="199" t="s">
        <v>651</v>
      </c>
      <c r="D152" s="234">
        <v>72500</v>
      </c>
      <c r="E152" s="143">
        <v>107857.14285714287</v>
      </c>
      <c r="F152">
        <v>72500</v>
      </c>
      <c r="G152" s="234">
        <f t="shared" si="21"/>
        <v>0</v>
      </c>
      <c r="H152">
        <v>107857.14285714287</v>
      </c>
      <c r="I152" s="261">
        <f t="shared" si="22"/>
        <v>0</v>
      </c>
      <c r="J152">
        <v>72500</v>
      </c>
      <c r="K152" s="234">
        <f t="shared" si="23"/>
        <v>0</v>
      </c>
      <c r="L152" s="143">
        <v>107857.14285714287</v>
      </c>
      <c r="M152" s="261">
        <f t="shared" si="24"/>
        <v>0</v>
      </c>
      <c r="N152" s="234">
        <v>72500</v>
      </c>
      <c r="O152" s="234">
        <f t="shared" si="25"/>
        <v>0</v>
      </c>
      <c r="P152" s="143">
        <v>107857.14285714287</v>
      </c>
      <c r="Q152" s="261">
        <f t="shared" si="26"/>
        <v>0</v>
      </c>
      <c r="R152" s="281">
        <v>72500</v>
      </c>
      <c r="S152" s="234">
        <f t="shared" si="27"/>
        <v>0</v>
      </c>
      <c r="T152" s="22">
        <v>107857.14285714287</v>
      </c>
      <c r="U152" s="261">
        <f t="shared" si="28"/>
        <v>0</v>
      </c>
      <c r="V152" s="281">
        <v>72500</v>
      </c>
      <c r="W152" s="234">
        <f t="shared" si="29"/>
        <v>0</v>
      </c>
      <c r="X152" s="22">
        <v>107857.14285714287</v>
      </c>
      <c r="Y152" s="261">
        <f t="shared" si="30"/>
        <v>0</v>
      </c>
    </row>
    <row r="153" spans="1:25">
      <c r="A153" s="2"/>
      <c r="B153" s="2">
        <v>149</v>
      </c>
      <c r="C153" s="199" t="s">
        <v>652</v>
      </c>
      <c r="D153" s="234">
        <v>70500</v>
      </c>
      <c r="E153" s="143">
        <v>105000</v>
      </c>
      <c r="F153">
        <v>70500</v>
      </c>
      <c r="G153" s="234">
        <f t="shared" si="21"/>
        <v>0</v>
      </c>
      <c r="H153">
        <v>105000</v>
      </c>
      <c r="I153" s="261">
        <f t="shared" si="22"/>
        <v>0</v>
      </c>
      <c r="J153">
        <v>70500</v>
      </c>
      <c r="K153" s="234">
        <f t="shared" si="23"/>
        <v>0</v>
      </c>
      <c r="L153" s="143">
        <v>105000</v>
      </c>
      <c r="M153" s="261">
        <f t="shared" si="24"/>
        <v>0</v>
      </c>
      <c r="N153" s="234">
        <v>70500</v>
      </c>
      <c r="O153" s="234">
        <f t="shared" si="25"/>
        <v>0</v>
      </c>
      <c r="P153" s="143">
        <v>105000</v>
      </c>
      <c r="Q153" s="261">
        <f t="shared" si="26"/>
        <v>0</v>
      </c>
      <c r="R153" s="281">
        <v>70500</v>
      </c>
      <c r="S153" s="234">
        <f t="shared" si="27"/>
        <v>0</v>
      </c>
      <c r="T153" s="22">
        <v>105000</v>
      </c>
      <c r="U153" s="261">
        <f t="shared" si="28"/>
        <v>0</v>
      </c>
      <c r="V153" s="281">
        <v>70500</v>
      </c>
      <c r="W153" s="234">
        <f t="shared" si="29"/>
        <v>0</v>
      </c>
      <c r="X153" s="22">
        <v>105000</v>
      </c>
      <c r="Y153" s="261">
        <f t="shared" si="30"/>
        <v>0</v>
      </c>
    </row>
    <row r="154" spans="1:25">
      <c r="A154" s="2"/>
      <c r="B154" s="71">
        <v>150</v>
      </c>
      <c r="C154" s="204" t="s">
        <v>653</v>
      </c>
      <c r="D154" s="234">
        <v>45500</v>
      </c>
      <c r="E154" s="143">
        <v>67857.142857142855</v>
      </c>
      <c r="F154">
        <v>45500</v>
      </c>
      <c r="G154" s="234">
        <f t="shared" si="21"/>
        <v>0</v>
      </c>
      <c r="H154">
        <v>67857.142857142855</v>
      </c>
      <c r="I154" s="261">
        <f t="shared" si="22"/>
        <v>0</v>
      </c>
      <c r="J154">
        <v>45500</v>
      </c>
      <c r="K154" s="234">
        <f t="shared" si="23"/>
        <v>0</v>
      </c>
      <c r="L154" s="143">
        <v>67857.142857142855</v>
      </c>
      <c r="M154" s="261">
        <f t="shared" si="24"/>
        <v>0</v>
      </c>
      <c r="N154" s="234">
        <v>45500</v>
      </c>
      <c r="O154" s="234">
        <f t="shared" si="25"/>
        <v>0</v>
      </c>
      <c r="P154" s="143">
        <v>69285.71428571429</v>
      </c>
      <c r="Q154" s="261">
        <f t="shared" si="26"/>
        <v>1428.5714285714348</v>
      </c>
      <c r="R154" s="281">
        <v>45500</v>
      </c>
      <c r="S154" s="234">
        <f t="shared" si="27"/>
        <v>0</v>
      </c>
      <c r="T154" s="22">
        <v>68571.42857142858</v>
      </c>
      <c r="U154" s="261">
        <f t="shared" si="28"/>
        <v>-714.28571428571013</v>
      </c>
      <c r="V154" s="281">
        <v>45500</v>
      </c>
      <c r="W154" s="234">
        <f t="shared" si="29"/>
        <v>0</v>
      </c>
      <c r="X154" s="22">
        <v>67857.142857142855</v>
      </c>
      <c r="Y154" s="261">
        <f t="shared" si="30"/>
        <v>-714.28571428572468</v>
      </c>
    </row>
    <row r="155" spans="1:25">
      <c r="A155" s="2"/>
      <c r="B155" s="71">
        <v>151</v>
      </c>
      <c r="C155" s="197" t="s">
        <v>190</v>
      </c>
      <c r="D155" s="234">
        <v>45500</v>
      </c>
      <c r="E155" s="143">
        <v>67857.142857142855</v>
      </c>
      <c r="F155">
        <v>45500</v>
      </c>
      <c r="G155" s="234">
        <f t="shared" si="21"/>
        <v>0</v>
      </c>
      <c r="H155">
        <v>67857.142857142855</v>
      </c>
      <c r="I155" s="261">
        <f t="shared" si="22"/>
        <v>0</v>
      </c>
      <c r="J155">
        <v>45500</v>
      </c>
      <c r="K155" s="234">
        <f t="shared" si="23"/>
        <v>0</v>
      </c>
      <c r="L155" s="143">
        <v>67857.142857142855</v>
      </c>
      <c r="M155" s="261">
        <f t="shared" si="24"/>
        <v>0</v>
      </c>
      <c r="N155" s="234">
        <v>45500</v>
      </c>
      <c r="O155" s="234">
        <f t="shared" si="25"/>
        <v>0</v>
      </c>
      <c r="P155" s="143">
        <v>69285.71428571429</v>
      </c>
      <c r="Q155" s="261">
        <f t="shared" si="26"/>
        <v>1428.5714285714348</v>
      </c>
      <c r="R155" s="281">
        <v>45500</v>
      </c>
      <c r="S155" s="234">
        <f t="shared" si="27"/>
        <v>0</v>
      </c>
      <c r="T155" s="22">
        <v>69285.71428571429</v>
      </c>
      <c r="U155" s="261">
        <f t="shared" si="28"/>
        <v>0</v>
      </c>
      <c r="V155" s="281">
        <v>45500</v>
      </c>
      <c r="W155" s="234">
        <f t="shared" si="29"/>
        <v>0</v>
      </c>
      <c r="X155" s="22">
        <v>69285.71428571429</v>
      </c>
      <c r="Y155" s="261">
        <f t="shared" si="30"/>
        <v>0</v>
      </c>
    </row>
    <row r="156" spans="1:25">
      <c r="A156" s="2"/>
      <c r="B156" s="2">
        <v>152</v>
      </c>
      <c r="C156" s="204" t="s">
        <v>654</v>
      </c>
      <c r="D156" s="234">
        <v>50650</v>
      </c>
      <c r="E156" s="143">
        <v>75214.285714285725</v>
      </c>
      <c r="F156">
        <v>50650</v>
      </c>
      <c r="G156" s="234">
        <f t="shared" si="21"/>
        <v>0</v>
      </c>
      <c r="H156">
        <v>75214.285714285725</v>
      </c>
      <c r="I156" s="261">
        <f t="shared" si="22"/>
        <v>0</v>
      </c>
      <c r="J156">
        <v>50650</v>
      </c>
      <c r="K156" s="234">
        <f t="shared" si="23"/>
        <v>0</v>
      </c>
      <c r="L156" s="143">
        <v>75214.285714285725</v>
      </c>
      <c r="M156" s="261">
        <f t="shared" si="24"/>
        <v>0</v>
      </c>
      <c r="N156" s="234">
        <v>50650</v>
      </c>
      <c r="O156" s="234">
        <f t="shared" si="25"/>
        <v>0</v>
      </c>
      <c r="P156" s="143">
        <v>76642.857142857145</v>
      </c>
      <c r="Q156" s="261">
        <f t="shared" si="26"/>
        <v>1428.5714285714203</v>
      </c>
      <c r="R156" s="281">
        <v>50650</v>
      </c>
      <c r="S156" s="234">
        <f t="shared" si="27"/>
        <v>0</v>
      </c>
      <c r="T156" s="22">
        <v>76642.857142857145</v>
      </c>
      <c r="U156" s="261">
        <f t="shared" si="28"/>
        <v>0</v>
      </c>
      <c r="V156" s="281">
        <v>50650</v>
      </c>
      <c r="W156" s="234">
        <f t="shared" si="29"/>
        <v>0</v>
      </c>
      <c r="X156" s="22">
        <v>76642.857142857145</v>
      </c>
      <c r="Y156" s="261">
        <f t="shared" si="30"/>
        <v>0</v>
      </c>
    </row>
    <row r="157" spans="1:25">
      <c r="A157" s="2"/>
      <c r="B157" s="71">
        <v>153</v>
      </c>
      <c r="C157" s="197" t="s">
        <v>191</v>
      </c>
      <c r="D157" s="234">
        <v>45500</v>
      </c>
      <c r="E157" s="143">
        <v>67857.142857142855</v>
      </c>
      <c r="F157">
        <v>45500</v>
      </c>
      <c r="G157" s="234">
        <f t="shared" si="21"/>
        <v>0</v>
      </c>
      <c r="H157">
        <v>67857.142857142855</v>
      </c>
      <c r="I157" s="261">
        <f t="shared" si="22"/>
        <v>0</v>
      </c>
      <c r="J157">
        <v>45500</v>
      </c>
      <c r="K157" s="234">
        <f t="shared" si="23"/>
        <v>0</v>
      </c>
      <c r="L157" s="143">
        <v>67857.142857142855</v>
      </c>
      <c r="M157" s="261">
        <f t="shared" si="24"/>
        <v>0</v>
      </c>
      <c r="N157" s="234">
        <v>45500</v>
      </c>
      <c r="O157" s="234">
        <f t="shared" si="25"/>
        <v>0</v>
      </c>
      <c r="P157" s="143">
        <v>69285.71428571429</v>
      </c>
      <c r="Q157" s="261">
        <f t="shared" si="26"/>
        <v>1428.5714285714348</v>
      </c>
      <c r="R157" s="281">
        <v>45500</v>
      </c>
      <c r="S157" s="234">
        <f t="shared" si="27"/>
        <v>0</v>
      </c>
      <c r="T157" s="22">
        <v>69285.71428571429</v>
      </c>
      <c r="U157" s="261">
        <f t="shared" si="28"/>
        <v>0</v>
      </c>
      <c r="V157" s="281">
        <v>45500</v>
      </c>
      <c r="W157" s="234">
        <f t="shared" si="29"/>
        <v>0</v>
      </c>
      <c r="X157" s="22">
        <v>69285.71428571429</v>
      </c>
      <c r="Y157" s="261">
        <f t="shared" si="30"/>
        <v>0</v>
      </c>
    </row>
    <row r="158" spans="1:25">
      <c r="A158" s="2"/>
      <c r="B158" s="71">
        <v>154</v>
      </c>
      <c r="C158" s="197" t="s">
        <v>192</v>
      </c>
      <c r="D158" s="234">
        <v>48000</v>
      </c>
      <c r="E158" s="143">
        <v>71428.571428571435</v>
      </c>
      <c r="F158">
        <v>48000</v>
      </c>
      <c r="G158" s="234">
        <f t="shared" si="21"/>
        <v>0</v>
      </c>
      <c r="H158">
        <v>71428.571428571435</v>
      </c>
      <c r="I158" s="261">
        <f t="shared" si="22"/>
        <v>0</v>
      </c>
      <c r="J158">
        <v>48000</v>
      </c>
      <c r="K158" s="234">
        <f t="shared" si="23"/>
        <v>0</v>
      </c>
      <c r="L158" s="143">
        <v>71428.571428571435</v>
      </c>
      <c r="M158" s="261">
        <f t="shared" si="24"/>
        <v>0</v>
      </c>
      <c r="N158" s="234">
        <v>48000</v>
      </c>
      <c r="O158" s="234">
        <f t="shared" si="25"/>
        <v>0</v>
      </c>
      <c r="P158" s="143">
        <v>72857.142857142855</v>
      </c>
      <c r="Q158" s="261">
        <f t="shared" si="26"/>
        <v>1428.5714285714203</v>
      </c>
      <c r="R158" s="281">
        <v>48000</v>
      </c>
      <c r="S158" s="234">
        <f t="shared" si="27"/>
        <v>0</v>
      </c>
      <c r="T158" s="22">
        <v>72857.142857142855</v>
      </c>
      <c r="U158" s="261">
        <f t="shared" si="28"/>
        <v>0</v>
      </c>
      <c r="V158" s="281">
        <v>48000</v>
      </c>
      <c r="W158" s="234">
        <f t="shared" si="29"/>
        <v>0</v>
      </c>
      <c r="X158" s="22">
        <v>72857.142857142855</v>
      </c>
      <c r="Y158" s="261">
        <f t="shared" si="30"/>
        <v>0</v>
      </c>
    </row>
    <row r="159" spans="1:25">
      <c r="A159" s="2"/>
      <c r="B159" s="2">
        <v>155</v>
      </c>
      <c r="C159" s="197" t="s">
        <v>193</v>
      </c>
      <c r="D159" s="234">
        <v>45500</v>
      </c>
      <c r="E159" s="143">
        <v>67857.142857142855</v>
      </c>
      <c r="F159">
        <v>45500</v>
      </c>
      <c r="G159" s="234">
        <f t="shared" si="21"/>
        <v>0</v>
      </c>
      <c r="H159">
        <v>67857.142857142855</v>
      </c>
      <c r="I159" s="261">
        <f t="shared" si="22"/>
        <v>0</v>
      </c>
      <c r="J159">
        <v>45500</v>
      </c>
      <c r="K159" s="234">
        <f t="shared" si="23"/>
        <v>0</v>
      </c>
      <c r="L159" s="143">
        <v>67857.142857142855</v>
      </c>
      <c r="M159" s="261">
        <f t="shared" si="24"/>
        <v>0</v>
      </c>
      <c r="N159" s="234">
        <v>45500</v>
      </c>
      <c r="O159" s="234">
        <f t="shared" si="25"/>
        <v>0</v>
      </c>
      <c r="P159" s="143">
        <v>69285.71428571429</v>
      </c>
      <c r="Q159" s="261">
        <f t="shared" si="26"/>
        <v>1428.5714285714348</v>
      </c>
      <c r="R159" s="281">
        <v>45500</v>
      </c>
      <c r="S159" s="234">
        <f t="shared" si="27"/>
        <v>0</v>
      </c>
      <c r="T159" s="22">
        <v>69285.71428571429</v>
      </c>
      <c r="U159" s="261">
        <f t="shared" si="28"/>
        <v>0</v>
      </c>
      <c r="V159" s="281">
        <v>45500</v>
      </c>
      <c r="W159" s="234">
        <f t="shared" si="29"/>
        <v>0</v>
      </c>
      <c r="X159" s="22">
        <v>69285.71428571429</v>
      </c>
      <c r="Y159" s="261">
        <f t="shared" si="30"/>
        <v>0</v>
      </c>
    </row>
    <row r="160" spans="1:25">
      <c r="A160" s="2"/>
      <c r="B160" s="71">
        <v>156</v>
      </c>
      <c r="C160" s="197" t="s">
        <v>194</v>
      </c>
      <c r="D160" s="234">
        <v>55650</v>
      </c>
      <c r="E160" s="143">
        <v>82357.14285714287</v>
      </c>
      <c r="F160">
        <v>55650</v>
      </c>
      <c r="G160" s="234">
        <f t="shared" si="21"/>
        <v>0</v>
      </c>
      <c r="H160">
        <v>82357.14285714287</v>
      </c>
      <c r="I160" s="261">
        <f t="shared" si="22"/>
        <v>0</v>
      </c>
      <c r="J160">
        <v>55650</v>
      </c>
      <c r="K160" s="234">
        <f t="shared" si="23"/>
        <v>0</v>
      </c>
      <c r="L160" s="143">
        <v>82357.14285714287</v>
      </c>
      <c r="M160" s="261">
        <f t="shared" si="24"/>
        <v>0</v>
      </c>
      <c r="N160" s="234">
        <v>55650</v>
      </c>
      <c r="O160" s="234">
        <f t="shared" si="25"/>
        <v>0</v>
      </c>
      <c r="P160" s="143">
        <v>83785.71428571429</v>
      </c>
      <c r="Q160" s="261">
        <f t="shared" si="26"/>
        <v>1428.5714285714203</v>
      </c>
      <c r="R160" s="281">
        <v>55650</v>
      </c>
      <c r="S160" s="234">
        <f t="shared" si="27"/>
        <v>0</v>
      </c>
      <c r="T160" s="22">
        <v>83785.71428571429</v>
      </c>
      <c r="U160" s="261">
        <f t="shared" si="28"/>
        <v>0</v>
      </c>
      <c r="V160" s="281">
        <v>55650</v>
      </c>
      <c r="W160" s="234">
        <f t="shared" si="29"/>
        <v>0</v>
      </c>
      <c r="X160" s="22">
        <v>83785.71428571429</v>
      </c>
      <c r="Y160" s="261">
        <f t="shared" si="30"/>
        <v>0</v>
      </c>
    </row>
    <row r="161" spans="1:25">
      <c r="A161" s="2"/>
      <c r="B161" s="71">
        <v>157</v>
      </c>
      <c r="C161" s="197" t="s">
        <v>195</v>
      </c>
      <c r="D161" s="234">
        <v>62500</v>
      </c>
      <c r="E161" s="143">
        <v>92142.857142857145</v>
      </c>
      <c r="F161">
        <v>62500</v>
      </c>
      <c r="G161" s="234">
        <f t="shared" si="21"/>
        <v>0</v>
      </c>
      <c r="H161">
        <v>92142.857142857145</v>
      </c>
      <c r="I161" s="261">
        <f t="shared" si="22"/>
        <v>0</v>
      </c>
      <c r="J161">
        <v>62500</v>
      </c>
      <c r="K161" s="234">
        <f t="shared" si="23"/>
        <v>0</v>
      </c>
      <c r="L161" s="143">
        <v>92142.857142857145</v>
      </c>
      <c r="M161" s="261">
        <f t="shared" si="24"/>
        <v>0</v>
      </c>
      <c r="N161" s="234">
        <v>62500</v>
      </c>
      <c r="O161" s="234">
        <f t="shared" si="25"/>
        <v>0</v>
      </c>
      <c r="P161" s="143">
        <v>92142.857142857145</v>
      </c>
      <c r="Q161" s="261">
        <f t="shared" si="26"/>
        <v>0</v>
      </c>
      <c r="R161" s="281">
        <v>62500</v>
      </c>
      <c r="S161" s="234">
        <f t="shared" si="27"/>
        <v>0</v>
      </c>
      <c r="T161" s="22">
        <v>92142.857142857145</v>
      </c>
      <c r="U161" s="261">
        <f t="shared" si="28"/>
        <v>0</v>
      </c>
      <c r="V161" s="281">
        <v>62500</v>
      </c>
      <c r="W161" s="234">
        <f t="shared" si="29"/>
        <v>0</v>
      </c>
      <c r="X161" s="22">
        <v>92142.857142857145</v>
      </c>
      <c r="Y161" s="261">
        <f t="shared" si="30"/>
        <v>0</v>
      </c>
    </row>
    <row r="162" spans="1:25">
      <c r="A162" s="2"/>
      <c r="B162" s="2">
        <v>158</v>
      </c>
      <c r="C162" s="197" t="s">
        <v>197</v>
      </c>
      <c r="D162" s="234">
        <v>50650</v>
      </c>
      <c r="E162" s="143">
        <v>75214.285714285725</v>
      </c>
      <c r="F162">
        <v>50650</v>
      </c>
      <c r="G162" s="234">
        <f t="shared" si="21"/>
        <v>0</v>
      </c>
      <c r="H162">
        <v>75214.285714285725</v>
      </c>
      <c r="I162" s="261">
        <f t="shared" si="22"/>
        <v>0</v>
      </c>
      <c r="J162">
        <v>50650</v>
      </c>
      <c r="K162" s="234">
        <f t="shared" si="23"/>
        <v>0</v>
      </c>
      <c r="L162" s="143">
        <v>75214.285714285725</v>
      </c>
      <c r="M162" s="261">
        <f t="shared" si="24"/>
        <v>0</v>
      </c>
      <c r="N162" s="234">
        <v>50650</v>
      </c>
      <c r="O162" s="234">
        <f t="shared" si="25"/>
        <v>0</v>
      </c>
      <c r="P162" s="143">
        <v>76642.857142857145</v>
      </c>
      <c r="Q162" s="261">
        <f t="shared" si="26"/>
        <v>1428.5714285714203</v>
      </c>
      <c r="R162" s="281">
        <v>50650</v>
      </c>
      <c r="S162" s="234">
        <f t="shared" si="27"/>
        <v>0</v>
      </c>
      <c r="T162" s="22">
        <v>76642.857142857145</v>
      </c>
      <c r="U162" s="261">
        <f t="shared" si="28"/>
        <v>0</v>
      </c>
      <c r="V162" s="281">
        <v>50650</v>
      </c>
      <c r="W162" s="234">
        <f t="shared" si="29"/>
        <v>0</v>
      </c>
      <c r="X162" s="22">
        <v>76642.857142857145</v>
      </c>
      <c r="Y162" s="261">
        <f t="shared" si="30"/>
        <v>0</v>
      </c>
    </row>
    <row r="163" spans="1:25">
      <c r="A163" s="2"/>
      <c r="B163" s="71">
        <v>159</v>
      </c>
      <c r="C163" s="204" t="s">
        <v>655</v>
      </c>
      <c r="D163" s="234">
        <v>59150</v>
      </c>
      <c r="E163" s="143">
        <v>87357.14285714287</v>
      </c>
      <c r="F163">
        <v>59150</v>
      </c>
      <c r="G163" s="234">
        <f t="shared" si="21"/>
        <v>0</v>
      </c>
      <c r="H163">
        <v>87357.14285714287</v>
      </c>
      <c r="I163" s="261">
        <f t="shared" si="22"/>
        <v>0</v>
      </c>
      <c r="J163">
        <v>59150</v>
      </c>
      <c r="K163" s="234">
        <f t="shared" si="23"/>
        <v>0</v>
      </c>
      <c r="L163" s="143">
        <v>87357.14285714287</v>
      </c>
      <c r="M163" s="261">
        <f t="shared" si="24"/>
        <v>0</v>
      </c>
      <c r="N163" s="234">
        <v>59150</v>
      </c>
      <c r="O163" s="234">
        <f t="shared" si="25"/>
        <v>0</v>
      </c>
      <c r="P163" s="143">
        <v>87357.14285714287</v>
      </c>
      <c r="Q163" s="261">
        <f t="shared" si="26"/>
        <v>0</v>
      </c>
      <c r="R163" s="281">
        <v>59150</v>
      </c>
      <c r="S163" s="234">
        <f t="shared" si="27"/>
        <v>0</v>
      </c>
      <c r="T163" s="22">
        <v>87357.14285714287</v>
      </c>
      <c r="U163" s="261">
        <f t="shared" si="28"/>
        <v>0</v>
      </c>
      <c r="V163" s="281">
        <v>59150</v>
      </c>
      <c r="W163" s="234">
        <f t="shared" si="29"/>
        <v>0</v>
      </c>
      <c r="X163" s="22">
        <v>87357.14285714287</v>
      </c>
      <c r="Y163" s="261">
        <f t="shared" si="30"/>
        <v>0</v>
      </c>
    </row>
    <row r="164" spans="1:25">
      <c r="A164" s="2"/>
      <c r="B164" s="71">
        <v>160</v>
      </c>
      <c r="C164" s="197" t="s">
        <v>198</v>
      </c>
      <c r="D164" s="234">
        <v>58650</v>
      </c>
      <c r="E164" s="143">
        <v>86642.857142857145</v>
      </c>
      <c r="F164">
        <v>58650</v>
      </c>
      <c r="G164" s="234">
        <f t="shared" si="21"/>
        <v>0</v>
      </c>
      <c r="H164">
        <v>86642.857142857145</v>
      </c>
      <c r="I164" s="261">
        <f t="shared" si="22"/>
        <v>0</v>
      </c>
      <c r="J164">
        <v>58650</v>
      </c>
      <c r="K164" s="234">
        <f t="shared" si="23"/>
        <v>0</v>
      </c>
      <c r="L164" s="143">
        <v>86642.857142857145</v>
      </c>
      <c r="M164" s="261">
        <f t="shared" si="24"/>
        <v>0</v>
      </c>
      <c r="N164" s="234">
        <v>58650</v>
      </c>
      <c r="O164" s="234">
        <f t="shared" si="25"/>
        <v>0</v>
      </c>
      <c r="P164" s="143">
        <v>86642.857142857145</v>
      </c>
      <c r="Q164" s="261">
        <f t="shared" si="26"/>
        <v>0</v>
      </c>
      <c r="R164" s="281">
        <v>58650</v>
      </c>
      <c r="S164" s="234">
        <f t="shared" si="27"/>
        <v>0</v>
      </c>
      <c r="T164" s="22">
        <v>86642.857142857145</v>
      </c>
      <c r="U164" s="261">
        <f t="shared" si="28"/>
        <v>0</v>
      </c>
      <c r="V164" s="281">
        <v>58650</v>
      </c>
      <c r="W164" s="234">
        <f t="shared" si="29"/>
        <v>0</v>
      </c>
      <c r="X164" s="22">
        <v>86642.857142857145</v>
      </c>
      <c r="Y164" s="261">
        <f t="shared" si="30"/>
        <v>0</v>
      </c>
    </row>
    <row r="165" spans="1:25">
      <c r="A165" s="2"/>
      <c r="B165" s="2">
        <v>161</v>
      </c>
      <c r="C165" s="197" t="s">
        <v>199</v>
      </c>
      <c r="D165" s="234">
        <v>58650</v>
      </c>
      <c r="E165" s="143">
        <v>86642.857142857145</v>
      </c>
      <c r="F165">
        <v>58650</v>
      </c>
      <c r="G165" s="234">
        <f t="shared" si="21"/>
        <v>0</v>
      </c>
      <c r="H165">
        <v>86642.857142857145</v>
      </c>
      <c r="I165" s="261">
        <f t="shared" si="22"/>
        <v>0</v>
      </c>
      <c r="J165">
        <v>58650</v>
      </c>
      <c r="K165" s="234">
        <f t="shared" si="23"/>
        <v>0</v>
      </c>
      <c r="L165" s="143">
        <v>86642.857142857145</v>
      </c>
      <c r="M165" s="261">
        <f t="shared" si="24"/>
        <v>0</v>
      </c>
      <c r="N165" s="234">
        <v>58650</v>
      </c>
      <c r="O165" s="234">
        <f t="shared" si="25"/>
        <v>0</v>
      </c>
      <c r="P165" s="143">
        <v>86642.857142857145</v>
      </c>
      <c r="Q165" s="261">
        <f t="shared" si="26"/>
        <v>0</v>
      </c>
      <c r="R165" s="281">
        <v>58650</v>
      </c>
      <c r="S165" s="234">
        <f t="shared" si="27"/>
        <v>0</v>
      </c>
      <c r="T165" s="22">
        <v>86642.857142857145</v>
      </c>
      <c r="U165" s="261">
        <f t="shared" si="28"/>
        <v>0</v>
      </c>
      <c r="V165" s="281">
        <v>58650</v>
      </c>
      <c r="W165" s="234">
        <f t="shared" si="29"/>
        <v>0</v>
      </c>
      <c r="X165" s="22">
        <v>86642.857142857145</v>
      </c>
      <c r="Y165" s="261">
        <f t="shared" si="30"/>
        <v>0</v>
      </c>
    </row>
    <row r="166" spans="1:25">
      <c r="A166" s="2"/>
      <c r="B166" s="71">
        <v>162</v>
      </c>
      <c r="C166" s="204" t="s">
        <v>656</v>
      </c>
      <c r="D166" s="234">
        <v>58950</v>
      </c>
      <c r="E166" s="143">
        <v>87071.42857142858</v>
      </c>
      <c r="F166">
        <v>58950</v>
      </c>
      <c r="G166" s="234">
        <f t="shared" si="21"/>
        <v>0</v>
      </c>
      <c r="H166">
        <v>87071.42857142858</v>
      </c>
      <c r="I166" s="261">
        <f t="shared" si="22"/>
        <v>0</v>
      </c>
      <c r="J166">
        <v>58950</v>
      </c>
      <c r="K166" s="234">
        <f t="shared" si="23"/>
        <v>0</v>
      </c>
      <c r="L166" s="143">
        <v>87071.42857142858</v>
      </c>
      <c r="M166" s="261">
        <f t="shared" si="24"/>
        <v>0</v>
      </c>
      <c r="N166" s="234">
        <v>58950</v>
      </c>
      <c r="O166" s="234">
        <f t="shared" si="25"/>
        <v>0</v>
      </c>
      <c r="P166" s="143">
        <v>87071.42857142858</v>
      </c>
      <c r="Q166" s="261">
        <f t="shared" si="26"/>
        <v>0</v>
      </c>
      <c r="R166" s="281">
        <v>58950</v>
      </c>
      <c r="S166" s="234">
        <f t="shared" si="27"/>
        <v>0</v>
      </c>
      <c r="T166" s="22">
        <v>87071.42857142858</v>
      </c>
      <c r="U166" s="261">
        <f t="shared" si="28"/>
        <v>0</v>
      </c>
      <c r="V166" s="281">
        <v>58950</v>
      </c>
      <c r="W166" s="234">
        <f t="shared" si="29"/>
        <v>0</v>
      </c>
      <c r="X166" s="22">
        <v>87071.42857142858</v>
      </c>
      <c r="Y166" s="261">
        <f t="shared" si="30"/>
        <v>0</v>
      </c>
    </row>
    <row r="167" spans="1:25">
      <c r="A167" s="2"/>
      <c r="B167" s="71">
        <v>163</v>
      </c>
      <c r="C167" s="197" t="s">
        <v>202</v>
      </c>
      <c r="D167" s="234">
        <v>57650</v>
      </c>
      <c r="E167" s="143">
        <v>85214.285714285725</v>
      </c>
      <c r="F167">
        <v>57650</v>
      </c>
      <c r="G167" s="234">
        <f t="shared" si="21"/>
        <v>0</v>
      </c>
      <c r="H167">
        <v>85214.285714285725</v>
      </c>
      <c r="I167" s="261">
        <f t="shared" si="22"/>
        <v>0</v>
      </c>
      <c r="J167">
        <v>57650</v>
      </c>
      <c r="K167" s="234">
        <f t="shared" si="23"/>
        <v>0</v>
      </c>
      <c r="L167" s="143">
        <v>85214.285714285725</v>
      </c>
      <c r="M167" s="261">
        <f t="shared" si="24"/>
        <v>0</v>
      </c>
      <c r="N167" s="234">
        <v>57650</v>
      </c>
      <c r="O167" s="234">
        <f t="shared" si="25"/>
        <v>0</v>
      </c>
      <c r="P167" s="143">
        <v>86642.857142857145</v>
      </c>
      <c r="Q167" s="261">
        <f t="shared" si="26"/>
        <v>1428.5714285714203</v>
      </c>
      <c r="R167" s="281">
        <v>57650</v>
      </c>
      <c r="S167" s="234">
        <f t="shared" si="27"/>
        <v>0</v>
      </c>
      <c r="T167" s="22">
        <v>86642.857142857145</v>
      </c>
      <c r="U167" s="261">
        <f t="shared" si="28"/>
        <v>0</v>
      </c>
      <c r="V167" s="281">
        <v>57650</v>
      </c>
      <c r="W167" s="234">
        <f t="shared" si="29"/>
        <v>0</v>
      </c>
      <c r="X167" s="22">
        <v>86642.857142857145</v>
      </c>
      <c r="Y167" s="261">
        <f t="shared" si="30"/>
        <v>0</v>
      </c>
    </row>
    <row r="168" spans="1:25">
      <c r="A168" s="71" t="s">
        <v>855</v>
      </c>
      <c r="B168" s="2">
        <v>164</v>
      </c>
      <c r="C168" s="197" t="s">
        <v>200</v>
      </c>
      <c r="D168" s="234">
        <v>52000</v>
      </c>
      <c r="E168" s="143">
        <v>77142.857142857145</v>
      </c>
      <c r="F168">
        <v>57650</v>
      </c>
      <c r="G168" s="234">
        <f t="shared" si="21"/>
        <v>5650</v>
      </c>
      <c r="H168">
        <v>85214.285714285725</v>
      </c>
      <c r="I168" s="261">
        <f t="shared" si="22"/>
        <v>8071.4285714285797</v>
      </c>
      <c r="J168">
        <v>57650</v>
      </c>
      <c r="K168" s="234">
        <f t="shared" si="23"/>
        <v>0</v>
      </c>
      <c r="L168" s="143">
        <v>85214.285714285725</v>
      </c>
      <c r="M168" s="261">
        <f t="shared" si="24"/>
        <v>0</v>
      </c>
      <c r="N168" s="234">
        <v>57650</v>
      </c>
      <c r="O168" s="234">
        <f t="shared" si="25"/>
        <v>0</v>
      </c>
      <c r="P168" s="143">
        <v>85214.285714285725</v>
      </c>
      <c r="Q168" s="261">
        <f t="shared" si="26"/>
        <v>0</v>
      </c>
      <c r="R168" s="281">
        <v>57650</v>
      </c>
      <c r="S168" s="234">
        <f t="shared" si="27"/>
        <v>0</v>
      </c>
      <c r="T168" s="22">
        <v>85214.285714285725</v>
      </c>
      <c r="U168" s="261">
        <f t="shared" si="28"/>
        <v>0</v>
      </c>
      <c r="V168" s="281">
        <v>57650</v>
      </c>
      <c r="W168" s="234">
        <f t="shared" si="29"/>
        <v>0</v>
      </c>
      <c r="X168" s="22">
        <v>85214.285714285725</v>
      </c>
      <c r="Y168" s="261">
        <f t="shared" si="30"/>
        <v>0</v>
      </c>
    </row>
    <row r="169" spans="1:25">
      <c r="A169" s="2"/>
      <c r="B169" s="71">
        <v>165</v>
      </c>
      <c r="C169" s="198" t="s">
        <v>204</v>
      </c>
      <c r="D169" s="234">
        <v>67000</v>
      </c>
      <c r="E169" s="143">
        <v>100000</v>
      </c>
      <c r="F169">
        <v>67000</v>
      </c>
      <c r="G169" s="234">
        <f t="shared" si="21"/>
        <v>0</v>
      </c>
      <c r="H169">
        <v>101428.57142857143</v>
      </c>
      <c r="I169" s="261">
        <f t="shared" si="22"/>
        <v>1428.5714285714348</v>
      </c>
      <c r="J169">
        <v>67000</v>
      </c>
      <c r="K169" s="234">
        <f t="shared" si="23"/>
        <v>0</v>
      </c>
      <c r="L169" s="143">
        <v>101428.57142857143</v>
      </c>
      <c r="M169" s="261">
        <f t="shared" si="24"/>
        <v>0</v>
      </c>
      <c r="N169" s="234">
        <v>67000</v>
      </c>
      <c r="O169" s="234">
        <f t="shared" si="25"/>
        <v>0</v>
      </c>
      <c r="P169" s="143">
        <v>101428.57142857143</v>
      </c>
      <c r="Q169" s="261">
        <f t="shared" si="26"/>
        <v>0</v>
      </c>
      <c r="R169" s="281">
        <v>67000</v>
      </c>
      <c r="S169" s="234">
        <f t="shared" si="27"/>
        <v>0</v>
      </c>
      <c r="T169" s="22">
        <v>101428.57142857143</v>
      </c>
      <c r="U169" s="261">
        <f t="shared" si="28"/>
        <v>0</v>
      </c>
      <c r="V169" s="281">
        <v>67000</v>
      </c>
      <c r="W169" s="234">
        <f t="shared" si="29"/>
        <v>0</v>
      </c>
      <c r="X169" s="22">
        <v>101428.57142857143</v>
      </c>
      <c r="Y169" s="261">
        <f t="shared" si="30"/>
        <v>0</v>
      </c>
    </row>
    <row r="170" spans="1:25">
      <c r="A170" s="2"/>
      <c r="B170" s="71">
        <v>166</v>
      </c>
      <c r="C170" s="198" t="s">
        <v>206</v>
      </c>
      <c r="D170" s="234">
        <v>71150</v>
      </c>
      <c r="E170" s="143">
        <v>105928.57142857143</v>
      </c>
      <c r="F170">
        <v>71150</v>
      </c>
      <c r="G170" s="234">
        <f t="shared" si="21"/>
        <v>0</v>
      </c>
      <c r="H170">
        <v>107357.14285714287</v>
      </c>
      <c r="I170" s="261">
        <f t="shared" si="22"/>
        <v>1428.5714285714348</v>
      </c>
      <c r="J170">
        <v>71150</v>
      </c>
      <c r="K170" s="234">
        <f t="shared" si="23"/>
        <v>0</v>
      </c>
      <c r="L170" s="143">
        <v>107357.14285714287</v>
      </c>
      <c r="M170" s="261">
        <f t="shared" si="24"/>
        <v>0</v>
      </c>
      <c r="N170" s="234">
        <v>71150</v>
      </c>
      <c r="O170" s="234">
        <f t="shared" si="25"/>
        <v>0</v>
      </c>
      <c r="P170" s="143">
        <v>107357.14285714287</v>
      </c>
      <c r="Q170" s="261">
        <f t="shared" si="26"/>
        <v>0</v>
      </c>
      <c r="R170" s="281">
        <v>71150</v>
      </c>
      <c r="S170" s="234">
        <f t="shared" si="27"/>
        <v>0</v>
      </c>
      <c r="T170" s="22">
        <v>107357.14285714287</v>
      </c>
      <c r="U170" s="261">
        <f t="shared" si="28"/>
        <v>0</v>
      </c>
      <c r="V170" s="281">
        <v>71150</v>
      </c>
      <c r="W170" s="234">
        <f t="shared" si="29"/>
        <v>0</v>
      </c>
      <c r="X170" s="22">
        <v>107357.14285714287</v>
      </c>
      <c r="Y170" s="261">
        <f t="shared" si="30"/>
        <v>0</v>
      </c>
    </row>
    <row r="171" spans="1:25">
      <c r="A171" s="2"/>
      <c r="B171" s="2">
        <v>167</v>
      </c>
      <c r="C171" s="198" t="s">
        <v>207</v>
      </c>
      <c r="D171" s="234">
        <v>80000</v>
      </c>
      <c r="E171" s="143">
        <v>117142.85714285714</v>
      </c>
      <c r="F171">
        <v>80000</v>
      </c>
      <c r="G171" s="234">
        <f t="shared" si="21"/>
        <v>0</v>
      </c>
      <c r="H171">
        <v>118571.42857142858</v>
      </c>
      <c r="I171" s="261">
        <f t="shared" si="22"/>
        <v>1428.5714285714348</v>
      </c>
      <c r="J171">
        <v>80000</v>
      </c>
      <c r="K171" s="234">
        <f t="shared" si="23"/>
        <v>0</v>
      </c>
      <c r="L171" s="143">
        <v>118571.42857142858</v>
      </c>
      <c r="M171" s="261">
        <f t="shared" si="24"/>
        <v>0</v>
      </c>
      <c r="N171" s="234">
        <v>80000</v>
      </c>
      <c r="O171" s="234">
        <f t="shared" si="25"/>
        <v>0</v>
      </c>
      <c r="P171" s="143">
        <v>118571.42857142858</v>
      </c>
      <c r="Q171" s="261">
        <f t="shared" si="26"/>
        <v>0</v>
      </c>
      <c r="R171" s="281">
        <v>80000</v>
      </c>
      <c r="S171" s="234">
        <f t="shared" si="27"/>
        <v>0</v>
      </c>
      <c r="T171" s="22">
        <v>118571.42857142858</v>
      </c>
      <c r="U171" s="261">
        <f t="shared" si="28"/>
        <v>0</v>
      </c>
      <c r="V171" s="281">
        <v>80000</v>
      </c>
      <c r="W171" s="234">
        <f t="shared" si="29"/>
        <v>0</v>
      </c>
      <c r="X171" s="22">
        <v>118571.42857142858</v>
      </c>
      <c r="Y171" s="261">
        <f t="shared" si="30"/>
        <v>0</v>
      </c>
    </row>
    <row r="172" spans="1:25">
      <c r="A172" s="2"/>
      <c r="B172" s="71">
        <v>168</v>
      </c>
      <c r="C172" s="198" t="s">
        <v>209</v>
      </c>
      <c r="D172" s="234">
        <v>65000</v>
      </c>
      <c r="E172" s="143">
        <v>97142.857142857145</v>
      </c>
      <c r="F172">
        <v>65000</v>
      </c>
      <c r="G172" s="234">
        <f t="shared" si="21"/>
        <v>0</v>
      </c>
      <c r="H172">
        <v>98571.42857142858</v>
      </c>
      <c r="I172" s="261">
        <f t="shared" si="22"/>
        <v>1428.5714285714348</v>
      </c>
      <c r="J172">
        <v>65000</v>
      </c>
      <c r="K172" s="234">
        <f t="shared" si="23"/>
        <v>0</v>
      </c>
      <c r="L172" s="143">
        <v>98571.42857142858</v>
      </c>
      <c r="M172" s="261">
        <f t="shared" si="24"/>
        <v>0</v>
      </c>
      <c r="N172" s="234">
        <v>65000</v>
      </c>
      <c r="O172" s="234">
        <f t="shared" si="25"/>
        <v>0</v>
      </c>
      <c r="P172" s="143">
        <v>98571.42857142858</v>
      </c>
      <c r="Q172" s="261">
        <f t="shared" si="26"/>
        <v>0</v>
      </c>
      <c r="R172" s="281">
        <v>65000</v>
      </c>
      <c r="S172" s="234">
        <f t="shared" si="27"/>
        <v>0</v>
      </c>
      <c r="T172" s="22">
        <v>98571.42857142858</v>
      </c>
      <c r="U172" s="261">
        <f t="shared" si="28"/>
        <v>0</v>
      </c>
      <c r="V172" s="281">
        <v>65000</v>
      </c>
      <c r="W172" s="234">
        <f t="shared" si="29"/>
        <v>0</v>
      </c>
      <c r="X172" s="22">
        <v>98571.42857142858</v>
      </c>
      <c r="Y172" s="261">
        <f t="shared" si="30"/>
        <v>0</v>
      </c>
    </row>
    <row r="173" spans="1:25">
      <c r="A173" s="2"/>
      <c r="B173" s="71">
        <v>169</v>
      </c>
      <c r="C173" s="205" t="s">
        <v>657</v>
      </c>
      <c r="D173" s="234">
        <v>85000</v>
      </c>
      <c r="E173" s="143">
        <v>124285.71428571429</v>
      </c>
      <c r="F173">
        <v>85000</v>
      </c>
      <c r="G173" s="234">
        <f t="shared" si="21"/>
        <v>0</v>
      </c>
      <c r="H173">
        <v>124285.71428571429</v>
      </c>
      <c r="I173" s="261">
        <f t="shared" si="22"/>
        <v>0</v>
      </c>
      <c r="J173">
        <v>85000</v>
      </c>
      <c r="K173" s="234">
        <f t="shared" si="23"/>
        <v>0</v>
      </c>
      <c r="L173" s="143">
        <v>124285.71428571429</v>
      </c>
      <c r="M173" s="261">
        <f t="shared" si="24"/>
        <v>0</v>
      </c>
      <c r="N173" s="234">
        <v>85000</v>
      </c>
      <c r="O173" s="234">
        <f t="shared" si="25"/>
        <v>0</v>
      </c>
      <c r="P173" s="143">
        <v>124285.71428571429</v>
      </c>
      <c r="Q173" s="261">
        <f t="shared" si="26"/>
        <v>0</v>
      </c>
      <c r="R173" s="281">
        <v>85000</v>
      </c>
      <c r="S173" s="234">
        <f t="shared" si="27"/>
        <v>0</v>
      </c>
      <c r="T173" s="22">
        <v>124285.71428571429</v>
      </c>
      <c r="U173" s="261">
        <f t="shared" si="28"/>
        <v>0</v>
      </c>
      <c r="V173" s="281">
        <v>85000</v>
      </c>
      <c r="W173" s="234">
        <f t="shared" si="29"/>
        <v>0</v>
      </c>
      <c r="X173" s="22">
        <v>124285.71428571429</v>
      </c>
      <c r="Y173" s="261">
        <f t="shared" si="30"/>
        <v>0</v>
      </c>
    </row>
    <row r="174" spans="1:25">
      <c r="A174" s="2"/>
      <c r="B174" s="2">
        <v>170</v>
      </c>
      <c r="C174" s="198" t="s">
        <v>210</v>
      </c>
      <c r="D174" s="234">
        <v>65000</v>
      </c>
      <c r="E174" s="143">
        <v>97142.857142857145</v>
      </c>
      <c r="F174">
        <v>65000</v>
      </c>
      <c r="G174" s="234">
        <f t="shared" si="21"/>
        <v>0</v>
      </c>
      <c r="H174">
        <v>98571.42857142858</v>
      </c>
      <c r="I174" s="261">
        <f t="shared" si="22"/>
        <v>1428.5714285714348</v>
      </c>
      <c r="J174">
        <v>65000</v>
      </c>
      <c r="K174" s="234">
        <f t="shared" si="23"/>
        <v>0</v>
      </c>
      <c r="L174" s="143">
        <v>98571.42857142858</v>
      </c>
      <c r="M174" s="261">
        <f t="shared" si="24"/>
        <v>0</v>
      </c>
      <c r="N174" s="234">
        <v>65000</v>
      </c>
      <c r="O174" s="234">
        <f t="shared" si="25"/>
        <v>0</v>
      </c>
      <c r="P174" s="143">
        <v>98571.42857142858</v>
      </c>
      <c r="Q174" s="261">
        <f t="shared" si="26"/>
        <v>0</v>
      </c>
      <c r="R174" s="281">
        <v>65000</v>
      </c>
      <c r="S174" s="234">
        <f t="shared" si="27"/>
        <v>0</v>
      </c>
      <c r="T174" s="22">
        <v>98571.42857142858</v>
      </c>
      <c r="U174" s="261">
        <f t="shared" si="28"/>
        <v>0</v>
      </c>
      <c r="V174" s="281">
        <v>65000</v>
      </c>
      <c r="W174" s="234">
        <f t="shared" si="29"/>
        <v>0</v>
      </c>
      <c r="X174" s="22">
        <v>98571.42857142858</v>
      </c>
      <c r="Y174" s="261">
        <f t="shared" si="30"/>
        <v>0</v>
      </c>
    </row>
    <row r="175" spans="1:25">
      <c r="A175" s="2"/>
      <c r="B175" s="71">
        <v>171</v>
      </c>
      <c r="C175" s="198" t="s">
        <v>211</v>
      </c>
      <c r="D175" s="234">
        <v>67000</v>
      </c>
      <c r="E175" s="143">
        <v>100000</v>
      </c>
      <c r="F175">
        <v>67000</v>
      </c>
      <c r="G175" s="234">
        <f t="shared" si="21"/>
        <v>0</v>
      </c>
      <c r="H175">
        <v>101428.57142857143</v>
      </c>
      <c r="I175" s="261">
        <f t="shared" si="22"/>
        <v>1428.5714285714348</v>
      </c>
      <c r="J175">
        <v>67000</v>
      </c>
      <c r="K175" s="234">
        <f t="shared" si="23"/>
        <v>0</v>
      </c>
      <c r="L175" s="143">
        <v>101428.57142857143</v>
      </c>
      <c r="M175" s="261">
        <f t="shared" si="24"/>
        <v>0</v>
      </c>
      <c r="N175" s="234">
        <v>67000</v>
      </c>
      <c r="O175" s="234">
        <f t="shared" si="25"/>
        <v>0</v>
      </c>
      <c r="P175" s="143">
        <v>101428.57142857143</v>
      </c>
      <c r="Q175" s="261">
        <f t="shared" si="26"/>
        <v>0</v>
      </c>
      <c r="R175" s="281">
        <v>67000</v>
      </c>
      <c r="S175" s="234">
        <f t="shared" si="27"/>
        <v>0</v>
      </c>
      <c r="T175" s="22">
        <v>101428.57142857143</v>
      </c>
      <c r="U175" s="261">
        <f t="shared" si="28"/>
        <v>0</v>
      </c>
      <c r="V175" s="281">
        <v>67000</v>
      </c>
      <c r="W175" s="234">
        <f t="shared" si="29"/>
        <v>0</v>
      </c>
      <c r="X175" s="22">
        <v>101428.57142857143</v>
      </c>
      <c r="Y175" s="261">
        <f t="shared" si="30"/>
        <v>0</v>
      </c>
    </row>
    <row r="176" spans="1:25">
      <c r="A176" s="2"/>
      <c r="B176" s="71">
        <v>172</v>
      </c>
      <c r="C176" s="205" t="s">
        <v>658</v>
      </c>
      <c r="D176" s="234">
        <v>75000</v>
      </c>
      <c r="E176" s="143">
        <v>111428.57142857143</v>
      </c>
      <c r="F176">
        <v>75000</v>
      </c>
      <c r="G176" s="234">
        <f t="shared" si="21"/>
        <v>0</v>
      </c>
      <c r="H176">
        <v>111428.57142857143</v>
      </c>
      <c r="I176" s="261">
        <f t="shared" si="22"/>
        <v>0</v>
      </c>
      <c r="J176">
        <v>75000</v>
      </c>
      <c r="K176" s="234">
        <f t="shared" si="23"/>
        <v>0</v>
      </c>
      <c r="L176" s="143">
        <v>111428.57142857143</v>
      </c>
      <c r="M176" s="261">
        <f t="shared" si="24"/>
        <v>0</v>
      </c>
      <c r="N176" s="234">
        <v>75000</v>
      </c>
      <c r="O176" s="234">
        <f t="shared" si="25"/>
        <v>0</v>
      </c>
      <c r="P176" s="143">
        <v>111428.57142857143</v>
      </c>
      <c r="Q176" s="261">
        <f t="shared" si="26"/>
        <v>0</v>
      </c>
      <c r="R176" s="281">
        <v>75000</v>
      </c>
      <c r="S176" s="234">
        <f t="shared" si="27"/>
        <v>0</v>
      </c>
      <c r="T176" s="22">
        <v>111428.57142857143</v>
      </c>
      <c r="U176" s="261">
        <f t="shared" si="28"/>
        <v>0</v>
      </c>
      <c r="V176" s="281">
        <v>75000</v>
      </c>
      <c r="W176" s="234">
        <f t="shared" si="29"/>
        <v>0</v>
      </c>
      <c r="X176" s="22">
        <v>111428.57142857143</v>
      </c>
      <c r="Y176" s="261">
        <f t="shared" si="30"/>
        <v>0</v>
      </c>
    </row>
    <row r="177" spans="1:25">
      <c r="A177" s="2"/>
      <c r="B177" s="2">
        <v>173</v>
      </c>
      <c r="C177" s="198" t="s">
        <v>212</v>
      </c>
      <c r="D177" s="234">
        <v>70000</v>
      </c>
      <c r="E177" s="143">
        <v>102857.14285714287</v>
      </c>
      <c r="F177">
        <v>70000</v>
      </c>
      <c r="G177" s="234">
        <f t="shared" si="21"/>
        <v>0</v>
      </c>
      <c r="H177">
        <v>104285.71428571429</v>
      </c>
      <c r="I177" s="261">
        <f t="shared" si="22"/>
        <v>1428.5714285714203</v>
      </c>
      <c r="J177">
        <v>70000</v>
      </c>
      <c r="K177" s="234">
        <f t="shared" si="23"/>
        <v>0</v>
      </c>
      <c r="L177" s="143">
        <v>104285.71428571429</v>
      </c>
      <c r="M177" s="261">
        <f t="shared" si="24"/>
        <v>0</v>
      </c>
      <c r="N177" s="234">
        <v>70000</v>
      </c>
      <c r="O177" s="234">
        <f t="shared" si="25"/>
        <v>0</v>
      </c>
      <c r="P177" s="143">
        <v>104285.71428571429</v>
      </c>
      <c r="Q177" s="261">
        <f t="shared" si="26"/>
        <v>0</v>
      </c>
      <c r="R177" s="281">
        <v>70000</v>
      </c>
      <c r="S177" s="234">
        <f t="shared" si="27"/>
        <v>0</v>
      </c>
      <c r="T177" s="22">
        <v>104285.71428571429</v>
      </c>
      <c r="U177" s="261">
        <f t="shared" si="28"/>
        <v>0</v>
      </c>
      <c r="V177" s="281">
        <v>70000</v>
      </c>
      <c r="W177" s="234">
        <f t="shared" si="29"/>
        <v>0</v>
      </c>
      <c r="X177" s="22">
        <v>104285.71428571429</v>
      </c>
      <c r="Y177" s="261">
        <f t="shared" si="30"/>
        <v>0</v>
      </c>
    </row>
    <row r="178" spans="1:25">
      <c r="A178" s="2"/>
      <c r="B178" s="71">
        <v>174</v>
      </c>
      <c r="C178" s="205" t="s">
        <v>659</v>
      </c>
      <c r="D178" s="234">
        <v>70000</v>
      </c>
      <c r="E178" s="143">
        <v>105714.28571428572</v>
      </c>
      <c r="F178">
        <v>70000</v>
      </c>
      <c r="G178" s="234">
        <f t="shared" si="21"/>
        <v>0</v>
      </c>
      <c r="H178">
        <v>105714.28571428572</v>
      </c>
      <c r="I178" s="261">
        <f t="shared" si="22"/>
        <v>0</v>
      </c>
      <c r="J178">
        <v>70000</v>
      </c>
      <c r="K178" s="234">
        <f t="shared" si="23"/>
        <v>0</v>
      </c>
      <c r="L178" s="143">
        <v>105714.28571428572</v>
      </c>
      <c r="M178" s="261">
        <f t="shared" si="24"/>
        <v>0</v>
      </c>
      <c r="N178" s="234">
        <v>70000</v>
      </c>
      <c r="O178" s="234">
        <f t="shared" si="25"/>
        <v>0</v>
      </c>
      <c r="P178" s="143">
        <v>105714.28571428572</v>
      </c>
      <c r="Q178" s="261">
        <f t="shared" si="26"/>
        <v>0</v>
      </c>
      <c r="R178" s="281">
        <v>70000</v>
      </c>
      <c r="S178" s="234">
        <f t="shared" si="27"/>
        <v>0</v>
      </c>
      <c r="T178" s="22">
        <v>105714.28571428572</v>
      </c>
      <c r="U178" s="261">
        <f t="shared" si="28"/>
        <v>0</v>
      </c>
      <c r="V178" s="281">
        <v>70000</v>
      </c>
      <c r="W178" s="234">
        <f t="shared" si="29"/>
        <v>0</v>
      </c>
      <c r="X178" s="22">
        <v>105714.28571428572</v>
      </c>
      <c r="Y178" s="261">
        <f t="shared" si="30"/>
        <v>0</v>
      </c>
    </row>
    <row r="179" spans="1:25">
      <c r="A179" s="2"/>
      <c r="B179" s="71">
        <v>175</v>
      </c>
      <c r="C179" s="205" t="s">
        <v>660</v>
      </c>
      <c r="D179" s="234">
        <v>70000</v>
      </c>
      <c r="E179" s="143">
        <v>105714.28571428572</v>
      </c>
      <c r="F179">
        <v>70000</v>
      </c>
      <c r="G179" s="234">
        <f t="shared" si="21"/>
        <v>0</v>
      </c>
      <c r="H179">
        <v>105714.28571428572</v>
      </c>
      <c r="I179" s="261">
        <f t="shared" si="22"/>
        <v>0</v>
      </c>
      <c r="J179">
        <v>70000</v>
      </c>
      <c r="K179" s="234">
        <f t="shared" si="23"/>
        <v>0</v>
      </c>
      <c r="L179" s="143">
        <v>105714.28571428572</v>
      </c>
      <c r="M179" s="261">
        <f t="shared" si="24"/>
        <v>0</v>
      </c>
      <c r="N179" s="234">
        <v>70000</v>
      </c>
      <c r="O179" s="234">
        <f t="shared" si="25"/>
        <v>0</v>
      </c>
      <c r="P179" s="143">
        <v>105714.28571428572</v>
      </c>
      <c r="Q179" s="261">
        <f t="shared" si="26"/>
        <v>0</v>
      </c>
      <c r="R179" s="281">
        <v>70000</v>
      </c>
      <c r="S179" s="234">
        <f t="shared" si="27"/>
        <v>0</v>
      </c>
      <c r="T179" s="22">
        <v>105714.28571428572</v>
      </c>
      <c r="U179" s="261">
        <f t="shared" si="28"/>
        <v>0</v>
      </c>
      <c r="V179" s="281">
        <v>70000</v>
      </c>
      <c r="W179" s="234">
        <f t="shared" si="29"/>
        <v>0</v>
      </c>
      <c r="X179" s="22">
        <v>105714.28571428572</v>
      </c>
      <c r="Y179" s="261">
        <f t="shared" si="30"/>
        <v>0</v>
      </c>
    </row>
    <row r="180" spans="1:25">
      <c r="A180" s="2"/>
      <c r="B180" s="2">
        <v>176</v>
      </c>
      <c r="C180" s="198" t="s">
        <v>213</v>
      </c>
      <c r="D180" s="234">
        <v>73000</v>
      </c>
      <c r="E180" s="143">
        <v>108571.42857142858</v>
      </c>
      <c r="F180">
        <v>73000</v>
      </c>
      <c r="G180" s="234">
        <f t="shared" si="21"/>
        <v>0</v>
      </c>
      <c r="H180">
        <v>110000</v>
      </c>
      <c r="I180" s="261">
        <f t="shared" si="22"/>
        <v>1428.5714285714203</v>
      </c>
      <c r="J180">
        <v>73000</v>
      </c>
      <c r="K180" s="234">
        <f t="shared" si="23"/>
        <v>0</v>
      </c>
      <c r="L180" s="143">
        <v>110000</v>
      </c>
      <c r="M180" s="261">
        <f t="shared" si="24"/>
        <v>0</v>
      </c>
      <c r="N180" s="234">
        <v>73000</v>
      </c>
      <c r="O180" s="234">
        <f t="shared" si="25"/>
        <v>0</v>
      </c>
      <c r="P180" s="143">
        <v>110000</v>
      </c>
      <c r="Q180" s="261">
        <f t="shared" si="26"/>
        <v>0</v>
      </c>
      <c r="R180" s="281">
        <v>73000</v>
      </c>
      <c r="S180" s="234">
        <f t="shared" si="27"/>
        <v>0</v>
      </c>
      <c r="T180" s="22">
        <v>110000</v>
      </c>
      <c r="U180" s="261">
        <f t="shared" si="28"/>
        <v>0</v>
      </c>
      <c r="V180" s="281">
        <v>73000</v>
      </c>
      <c r="W180" s="234">
        <f t="shared" si="29"/>
        <v>0</v>
      </c>
      <c r="X180" s="22">
        <v>110000</v>
      </c>
      <c r="Y180" s="261">
        <f t="shared" si="30"/>
        <v>0</v>
      </c>
    </row>
    <row r="181" spans="1:25">
      <c r="A181" s="2"/>
      <c r="B181" s="71">
        <v>177</v>
      </c>
      <c r="C181" s="198" t="s">
        <v>214</v>
      </c>
      <c r="D181" s="234">
        <v>70650</v>
      </c>
      <c r="E181" s="143">
        <v>105214.28571428572</v>
      </c>
      <c r="F181">
        <v>70650</v>
      </c>
      <c r="G181" s="234">
        <f t="shared" si="21"/>
        <v>0</v>
      </c>
      <c r="H181">
        <v>106642.85714285714</v>
      </c>
      <c r="I181" s="261">
        <f t="shared" si="22"/>
        <v>1428.5714285714203</v>
      </c>
      <c r="J181">
        <v>70650</v>
      </c>
      <c r="K181" s="234">
        <f t="shared" si="23"/>
        <v>0</v>
      </c>
      <c r="L181" s="143">
        <v>106642.85714285714</v>
      </c>
      <c r="M181" s="261">
        <f t="shared" si="24"/>
        <v>0</v>
      </c>
      <c r="N181" s="234">
        <v>70650</v>
      </c>
      <c r="O181" s="234">
        <f t="shared" si="25"/>
        <v>0</v>
      </c>
      <c r="P181" s="143">
        <v>106642.85714285714</v>
      </c>
      <c r="Q181" s="261">
        <f t="shared" si="26"/>
        <v>0</v>
      </c>
      <c r="R181" s="281">
        <v>70650</v>
      </c>
      <c r="S181" s="234">
        <f t="shared" si="27"/>
        <v>0</v>
      </c>
      <c r="T181" s="22">
        <v>106642.85714285714</v>
      </c>
      <c r="U181" s="261">
        <f t="shared" si="28"/>
        <v>0</v>
      </c>
      <c r="V181" s="281">
        <v>70650</v>
      </c>
      <c r="W181" s="234">
        <f t="shared" si="29"/>
        <v>0</v>
      </c>
      <c r="X181" s="22">
        <v>106642.85714285714</v>
      </c>
      <c r="Y181" s="261">
        <f t="shared" si="30"/>
        <v>0</v>
      </c>
    </row>
    <row r="182" spans="1:25">
      <c r="A182" s="2"/>
      <c r="B182" s="71">
        <v>178</v>
      </c>
      <c r="C182" s="198" t="s">
        <v>215</v>
      </c>
      <c r="D182" s="234">
        <v>71000</v>
      </c>
      <c r="E182" s="143">
        <v>105714.28571428572</v>
      </c>
      <c r="F182">
        <v>71000</v>
      </c>
      <c r="G182" s="234">
        <f t="shared" si="21"/>
        <v>0</v>
      </c>
      <c r="H182">
        <v>107142.85714285714</v>
      </c>
      <c r="I182" s="261">
        <f t="shared" si="22"/>
        <v>1428.5714285714203</v>
      </c>
      <c r="J182">
        <v>71000</v>
      </c>
      <c r="K182" s="234">
        <f t="shared" si="23"/>
        <v>0</v>
      </c>
      <c r="L182" s="143">
        <v>107142.85714285714</v>
      </c>
      <c r="M182" s="261">
        <f t="shared" si="24"/>
        <v>0</v>
      </c>
      <c r="N182" s="234">
        <v>71000</v>
      </c>
      <c r="O182" s="234">
        <f t="shared" si="25"/>
        <v>0</v>
      </c>
      <c r="P182" s="143">
        <v>107142.85714285714</v>
      </c>
      <c r="Q182" s="261">
        <f t="shared" si="26"/>
        <v>0</v>
      </c>
      <c r="R182" s="281">
        <v>71000</v>
      </c>
      <c r="S182" s="234">
        <f t="shared" si="27"/>
        <v>0</v>
      </c>
      <c r="T182" s="22">
        <v>107142.85714285714</v>
      </c>
      <c r="U182" s="261">
        <f t="shared" si="28"/>
        <v>0</v>
      </c>
      <c r="V182" s="281">
        <v>71000</v>
      </c>
      <c r="W182" s="234">
        <f t="shared" si="29"/>
        <v>0</v>
      </c>
      <c r="X182" s="22">
        <v>107142.85714285714</v>
      </c>
      <c r="Y182" s="261">
        <f t="shared" si="30"/>
        <v>0</v>
      </c>
    </row>
    <row r="183" spans="1:25">
      <c r="A183" s="2"/>
      <c r="B183" s="2">
        <v>179</v>
      </c>
      <c r="C183" s="198" t="s">
        <v>216</v>
      </c>
      <c r="D183" s="234">
        <v>73000</v>
      </c>
      <c r="E183" s="143">
        <v>108571.42857142858</v>
      </c>
      <c r="F183">
        <v>73000</v>
      </c>
      <c r="G183" s="234">
        <f t="shared" si="21"/>
        <v>0</v>
      </c>
      <c r="H183">
        <v>110000</v>
      </c>
      <c r="I183" s="261">
        <f t="shared" si="22"/>
        <v>1428.5714285714203</v>
      </c>
      <c r="J183">
        <v>73000</v>
      </c>
      <c r="K183" s="234">
        <f t="shared" si="23"/>
        <v>0</v>
      </c>
      <c r="L183" s="143">
        <v>110000</v>
      </c>
      <c r="M183" s="261">
        <f t="shared" si="24"/>
        <v>0</v>
      </c>
      <c r="N183" s="234">
        <v>73000</v>
      </c>
      <c r="O183" s="234">
        <f t="shared" si="25"/>
        <v>0</v>
      </c>
      <c r="P183" s="143">
        <v>110000</v>
      </c>
      <c r="Q183" s="261">
        <f t="shared" si="26"/>
        <v>0</v>
      </c>
      <c r="R183" s="281">
        <v>73000</v>
      </c>
      <c r="S183" s="234">
        <f t="shared" si="27"/>
        <v>0</v>
      </c>
      <c r="T183" s="22">
        <v>110000</v>
      </c>
      <c r="U183" s="261">
        <f t="shared" si="28"/>
        <v>0</v>
      </c>
      <c r="V183" s="281">
        <v>73000</v>
      </c>
      <c r="W183" s="234">
        <f t="shared" si="29"/>
        <v>0</v>
      </c>
      <c r="X183" s="22">
        <v>110000</v>
      </c>
      <c r="Y183" s="261">
        <f t="shared" si="30"/>
        <v>0</v>
      </c>
    </row>
    <row r="184" spans="1:25">
      <c r="A184" s="2"/>
      <c r="B184" s="71">
        <v>180</v>
      </c>
      <c r="C184" s="198" t="s">
        <v>217</v>
      </c>
      <c r="D184" s="234">
        <v>73000</v>
      </c>
      <c r="E184" s="143">
        <v>108571.42857142858</v>
      </c>
      <c r="F184">
        <v>73000</v>
      </c>
      <c r="G184" s="234">
        <f t="shared" si="21"/>
        <v>0</v>
      </c>
      <c r="H184">
        <v>110000</v>
      </c>
      <c r="I184" s="261">
        <f t="shared" si="22"/>
        <v>1428.5714285714203</v>
      </c>
      <c r="J184">
        <v>73000</v>
      </c>
      <c r="K184" s="234">
        <f t="shared" si="23"/>
        <v>0</v>
      </c>
      <c r="L184" s="143">
        <v>110000</v>
      </c>
      <c r="M184" s="261">
        <f t="shared" si="24"/>
        <v>0</v>
      </c>
      <c r="N184" s="234">
        <v>73000</v>
      </c>
      <c r="O184" s="234">
        <f t="shared" si="25"/>
        <v>0</v>
      </c>
      <c r="P184" s="143">
        <v>110000</v>
      </c>
      <c r="Q184" s="261">
        <f t="shared" si="26"/>
        <v>0</v>
      </c>
      <c r="R184" s="281">
        <v>73000</v>
      </c>
      <c r="S184" s="234">
        <f t="shared" si="27"/>
        <v>0</v>
      </c>
      <c r="T184" s="22">
        <v>110000</v>
      </c>
      <c r="U184" s="261">
        <f t="shared" si="28"/>
        <v>0</v>
      </c>
      <c r="V184" s="281">
        <v>73000</v>
      </c>
      <c r="W184" s="234">
        <f t="shared" si="29"/>
        <v>0</v>
      </c>
      <c r="X184" s="22">
        <v>110000</v>
      </c>
      <c r="Y184" s="261">
        <f t="shared" si="30"/>
        <v>0</v>
      </c>
    </row>
    <row r="185" spans="1:25">
      <c r="A185" s="2"/>
      <c r="B185" s="71">
        <v>181</v>
      </c>
      <c r="C185" s="205" t="s">
        <v>661</v>
      </c>
      <c r="D185" s="234">
        <v>73000</v>
      </c>
      <c r="E185" s="143">
        <v>110000</v>
      </c>
      <c r="F185">
        <v>73000</v>
      </c>
      <c r="G185" s="234">
        <f t="shared" si="21"/>
        <v>0</v>
      </c>
      <c r="H185">
        <v>110000</v>
      </c>
      <c r="I185" s="261">
        <f t="shared" si="22"/>
        <v>0</v>
      </c>
      <c r="J185">
        <v>73000</v>
      </c>
      <c r="K185" s="234">
        <f t="shared" si="23"/>
        <v>0</v>
      </c>
      <c r="L185" s="143">
        <v>110000</v>
      </c>
      <c r="M185" s="261">
        <f t="shared" si="24"/>
        <v>0</v>
      </c>
      <c r="N185" s="234">
        <v>73000</v>
      </c>
      <c r="O185" s="234">
        <f t="shared" si="25"/>
        <v>0</v>
      </c>
      <c r="P185" s="143">
        <v>110000</v>
      </c>
      <c r="Q185" s="261">
        <f t="shared" si="26"/>
        <v>0</v>
      </c>
      <c r="R185" s="281">
        <v>73000</v>
      </c>
      <c r="S185" s="234">
        <f t="shared" si="27"/>
        <v>0</v>
      </c>
      <c r="T185" s="22">
        <v>110000</v>
      </c>
      <c r="U185" s="261">
        <f t="shared" si="28"/>
        <v>0</v>
      </c>
      <c r="V185" s="281">
        <v>73000</v>
      </c>
      <c r="W185" s="234">
        <f t="shared" si="29"/>
        <v>0</v>
      </c>
      <c r="X185" s="22">
        <v>110000</v>
      </c>
      <c r="Y185" s="261">
        <f t="shared" si="30"/>
        <v>0</v>
      </c>
    </row>
    <row r="186" spans="1:25">
      <c r="A186" s="2"/>
      <c r="B186" s="2">
        <v>182</v>
      </c>
      <c r="C186" s="198" t="s">
        <v>218</v>
      </c>
      <c r="D186" s="234">
        <v>67000</v>
      </c>
      <c r="E186" s="143">
        <v>100000</v>
      </c>
      <c r="F186">
        <v>67000</v>
      </c>
      <c r="G186" s="234">
        <f t="shared" si="21"/>
        <v>0</v>
      </c>
      <c r="H186">
        <v>101428.57142857143</v>
      </c>
      <c r="I186" s="261">
        <f t="shared" si="22"/>
        <v>1428.5714285714348</v>
      </c>
      <c r="J186">
        <v>67000</v>
      </c>
      <c r="K186" s="234">
        <f t="shared" si="23"/>
        <v>0</v>
      </c>
      <c r="L186" s="143">
        <v>101428.57142857143</v>
      </c>
      <c r="M186" s="261">
        <f t="shared" si="24"/>
        <v>0</v>
      </c>
      <c r="N186" s="234">
        <v>67000</v>
      </c>
      <c r="O186" s="234">
        <f t="shared" si="25"/>
        <v>0</v>
      </c>
      <c r="P186" s="143">
        <v>101428.57142857143</v>
      </c>
      <c r="Q186" s="261">
        <f t="shared" si="26"/>
        <v>0</v>
      </c>
      <c r="R186" s="281">
        <v>67000</v>
      </c>
      <c r="S186" s="234">
        <f t="shared" si="27"/>
        <v>0</v>
      </c>
      <c r="T186" s="22">
        <v>101428.57142857143</v>
      </c>
      <c r="U186" s="261">
        <f t="shared" si="28"/>
        <v>0</v>
      </c>
      <c r="V186" s="281">
        <v>67000</v>
      </c>
      <c r="W186" s="234">
        <f t="shared" si="29"/>
        <v>0</v>
      </c>
      <c r="X186" s="22">
        <v>101428.57142857143</v>
      </c>
      <c r="Y186" s="261">
        <f t="shared" si="30"/>
        <v>0</v>
      </c>
    </row>
    <row r="187" spans="1:25">
      <c r="A187" s="2"/>
      <c r="B187" s="71">
        <v>183</v>
      </c>
      <c r="C187" s="205" t="s">
        <v>662</v>
      </c>
      <c r="D187" s="234">
        <v>85000</v>
      </c>
      <c r="E187" s="143">
        <v>124285.71428571429</v>
      </c>
      <c r="F187">
        <v>85000</v>
      </c>
      <c r="G187" s="234">
        <f t="shared" si="21"/>
        <v>0</v>
      </c>
      <c r="H187">
        <v>124285.71428571429</v>
      </c>
      <c r="I187" s="261">
        <f t="shared" si="22"/>
        <v>0</v>
      </c>
      <c r="J187">
        <v>85000</v>
      </c>
      <c r="K187" s="234">
        <f t="shared" si="23"/>
        <v>0</v>
      </c>
      <c r="L187" s="143">
        <v>124285.71428571429</v>
      </c>
      <c r="M187" s="261">
        <f t="shared" si="24"/>
        <v>0</v>
      </c>
      <c r="N187" s="234">
        <v>85000</v>
      </c>
      <c r="O187" s="234">
        <f t="shared" si="25"/>
        <v>0</v>
      </c>
      <c r="P187" s="143">
        <v>124285.71428571429</v>
      </c>
      <c r="Q187" s="261">
        <f t="shared" si="26"/>
        <v>0</v>
      </c>
      <c r="R187" s="281">
        <v>85000</v>
      </c>
      <c r="S187" s="234">
        <f t="shared" si="27"/>
        <v>0</v>
      </c>
      <c r="T187" s="22">
        <v>124285.71428571429</v>
      </c>
      <c r="U187" s="261">
        <f t="shared" si="28"/>
        <v>0</v>
      </c>
      <c r="V187" s="281">
        <v>85000</v>
      </c>
      <c r="W187" s="234">
        <f t="shared" si="29"/>
        <v>0</v>
      </c>
      <c r="X187" s="22">
        <v>124285.71428571429</v>
      </c>
      <c r="Y187" s="261">
        <f t="shared" si="30"/>
        <v>0</v>
      </c>
    </row>
    <row r="188" spans="1:25">
      <c r="A188" s="2"/>
      <c r="B188" s="71">
        <v>184</v>
      </c>
      <c r="C188" s="198" t="s">
        <v>219</v>
      </c>
      <c r="D188" s="234">
        <v>70000</v>
      </c>
      <c r="E188" s="143">
        <v>104285.71428571429</v>
      </c>
      <c r="F188">
        <v>70000</v>
      </c>
      <c r="G188" s="234">
        <f t="shared" si="21"/>
        <v>0</v>
      </c>
      <c r="H188">
        <v>105714.28571428572</v>
      </c>
      <c r="I188" s="261">
        <f t="shared" si="22"/>
        <v>1428.5714285714348</v>
      </c>
      <c r="J188">
        <v>70000</v>
      </c>
      <c r="K188" s="234">
        <f t="shared" si="23"/>
        <v>0</v>
      </c>
      <c r="L188" s="143">
        <v>105714.28571428572</v>
      </c>
      <c r="M188" s="261">
        <f t="shared" si="24"/>
        <v>0</v>
      </c>
      <c r="N188" s="234">
        <v>70000</v>
      </c>
      <c r="O188" s="234">
        <f t="shared" si="25"/>
        <v>0</v>
      </c>
      <c r="P188" s="143">
        <v>105714.28571428572</v>
      </c>
      <c r="Q188" s="261">
        <f t="shared" si="26"/>
        <v>0</v>
      </c>
      <c r="R188" s="281">
        <v>70000</v>
      </c>
      <c r="S188" s="234">
        <f t="shared" si="27"/>
        <v>0</v>
      </c>
      <c r="T188" s="22">
        <v>105714.28571428572</v>
      </c>
      <c r="U188" s="261">
        <f t="shared" si="28"/>
        <v>0</v>
      </c>
      <c r="V188" s="281">
        <v>70000</v>
      </c>
      <c r="W188" s="234">
        <f t="shared" si="29"/>
        <v>0</v>
      </c>
      <c r="X188" s="22">
        <v>105714.28571428572</v>
      </c>
      <c r="Y188" s="261">
        <f t="shared" si="30"/>
        <v>0</v>
      </c>
    </row>
    <row r="189" spans="1:25">
      <c r="A189" s="2"/>
      <c r="B189" s="2">
        <v>185</v>
      </c>
      <c r="C189" s="198" t="s">
        <v>220</v>
      </c>
      <c r="D189" s="234">
        <v>76150</v>
      </c>
      <c r="E189" s="143">
        <v>113071.42857142858</v>
      </c>
      <c r="F189">
        <v>76150</v>
      </c>
      <c r="G189" s="234">
        <f t="shared" si="21"/>
        <v>0</v>
      </c>
      <c r="H189">
        <v>114500</v>
      </c>
      <c r="I189" s="261">
        <f t="shared" si="22"/>
        <v>1428.5714285714203</v>
      </c>
      <c r="J189">
        <v>76150</v>
      </c>
      <c r="K189" s="234">
        <f t="shared" si="23"/>
        <v>0</v>
      </c>
      <c r="L189" s="143">
        <v>114500</v>
      </c>
      <c r="M189" s="261">
        <f t="shared" si="24"/>
        <v>0</v>
      </c>
      <c r="N189" s="234">
        <v>76150</v>
      </c>
      <c r="O189" s="234">
        <f t="shared" si="25"/>
        <v>0</v>
      </c>
      <c r="P189" s="143">
        <v>114500</v>
      </c>
      <c r="Q189" s="261">
        <f t="shared" si="26"/>
        <v>0</v>
      </c>
      <c r="R189" s="281">
        <v>76150</v>
      </c>
      <c r="S189" s="234">
        <f t="shared" si="27"/>
        <v>0</v>
      </c>
      <c r="T189" s="22">
        <v>114500</v>
      </c>
      <c r="U189" s="261">
        <f t="shared" si="28"/>
        <v>0</v>
      </c>
      <c r="V189" s="281">
        <v>76150</v>
      </c>
      <c r="W189" s="234">
        <f t="shared" si="29"/>
        <v>0</v>
      </c>
      <c r="X189" s="22">
        <v>114500</v>
      </c>
      <c r="Y189" s="261">
        <f t="shared" si="30"/>
        <v>0</v>
      </c>
    </row>
    <row r="190" spans="1:25">
      <c r="A190" s="2"/>
      <c r="B190" s="71">
        <v>186</v>
      </c>
      <c r="C190" s="198" t="s">
        <v>221</v>
      </c>
      <c r="D190" s="234">
        <v>71000</v>
      </c>
      <c r="E190" s="143">
        <v>105714.28571428572</v>
      </c>
      <c r="F190">
        <v>71000</v>
      </c>
      <c r="G190" s="234">
        <f t="shared" si="21"/>
        <v>0</v>
      </c>
      <c r="H190">
        <v>107142.85714285714</v>
      </c>
      <c r="I190" s="261">
        <f t="shared" si="22"/>
        <v>1428.5714285714203</v>
      </c>
      <c r="J190">
        <v>71000</v>
      </c>
      <c r="K190" s="234">
        <f t="shared" si="23"/>
        <v>0</v>
      </c>
      <c r="L190" s="143">
        <v>107142.85714285714</v>
      </c>
      <c r="M190" s="261">
        <f t="shared" si="24"/>
        <v>0</v>
      </c>
      <c r="N190" s="234">
        <v>71000</v>
      </c>
      <c r="O190" s="234">
        <f t="shared" si="25"/>
        <v>0</v>
      </c>
      <c r="P190" s="143">
        <v>107142.85714285714</v>
      </c>
      <c r="Q190" s="261">
        <f t="shared" si="26"/>
        <v>0</v>
      </c>
      <c r="R190" s="281">
        <v>71000</v>
      </c>
      <c r="S190" s="234">
        <f t="shared" si="27"/>
        <v>0</v>
      </c>
      <c r="T190" s="22">
        <v>107142.85714285714</v>
      </c>
      <c r="U190" s="261">
        <f t="shared" si="28"/>
        <v>0</v>
      </c>
      <c r="V190" s="281">
        <v>71000</v>
      </c>
      <c r="W190" s="234">
        <f t="shared" si="29"/>
        <v>0</v>
      </c>
      <c r="X190" s="22">
        <v>107142.85714285714</v>
      </c>
      <c r="Y190" s="261">
        <f t="shared" si="30"/>
        <v>0</v>
      </c>
    </row>
    <row r="191" spans="1:25">
      <c r="A191" s="2"/>
      <c r="B191" s="71">
        <v>187</v>
      </c>
      <c r="C191" s="198" t="s">
        <v>223</v>
      </c>
      <c r="D191" s="234">
        <v>70000</v>
      </c>
      <c r="E191" s="143">
        <v>104285.71428571429</v>
      </c>
      <c r="F191">
        <v>70000</v>
      </c>
      <c r="G191" s="234">
        <f t="shared" si="21"/>
        <v>0</v>
      </c>
      <c r="H191">
        <v>105714.28571428572</v>
      </c>
      <c r="I191" s="261">
        <f t="shared" si="22"/>
        <v>1428.5714285714348</v>
      </c>
      <c r="J191">
        <v>70000</v>
      </c>
      <c r="K191" s="234">
        <f t="shared" si="23"/>
        <v>0</v>
      </c>
      <c r="L191" s="143">
        <v>105714.28571428572</v>
      </c>
      <c r="M191" s="261">
        <f t="shared" si="24"/>
        <v>0</v>
      </c>
      <c r="N191" s="234">
        <v>70000</v>
      </c>
      <c r="O191" s="234">
        <f t="shared" si="25"/>
        <v>0</v>
      </c>
      <c r="P191" s="143">
        <v>105714.28571428572</v>
      </c>
      <c r="Q191" s="261">
        <f t="shared" si="26"/>
        <v>0</v>
      </c>
      <c r="R191" s="281">
        <v>70000</v>
      </c>
      <c r="S191" s="234">
        <f t="shared" si="27"/>
        <v>0</v>
      </c>
      <c r="T191" s="22">
        <v>105714.28571428572</v>
      </c>
      <c r="U191" s="261">
        <f t="shared" si="28"/>
        <v>0</v>
      </c>
      <c r="V191" s="281">
        <v>70000</v>
      </c>
      <c r="W191" s="234">
        <f t="shared" si="29"/>
        <v>0</v>
      </c>
      <c r="X191" s="22">
        <v>105714.28571428572</v>
      </c>
      <c r="Y191" s="261">
        <f t="shared" si="30"/>
        <v>0</v>
      </c>
    </row>
    <row r="192" spans="1:25">
      <c r="A192" s="2"/>
      <c r="B192" s="2">
        <v>188</v>
      </c>
      <c r="C192" s="198" t="s">
        <v>224</v>
      </c>
      <c r="D192" s="234">
        <v>65000</v>
      </c>
      <c r="E192" s="143">
        <v>97142.857142857145</v>
      </c>
      <c r="F192">
        <v>65000</v>
      </c>
      <c r="G192" s="234">
        <f t="shared" si="21"/>
        <v>0</v>
      </c>
      <c r="H192">
        <v>98571.42857142858</v>
      </c>
      <c r="I192" s="261">
        <f t="shared" si="22"/>
        <v>1428.5714285714348</v>
      </c>
      <c r="J192">
        <v>65000</v>
      </c>
      <c r="K192" s="234">
        <f t="shared" si="23"/>
        <v>0</v>
      </c>
      <c r="L192" s="143">
        <v>98571.42857142858</v>
      </c>
      <c r="M192" s="261">
        <f t="shared" si="24"/>
        <v>0</v>
      </c>
      <c r="N192" s="234">
        <v>65000</v>
      </c>
      <c r="O192" s="234">
        <f t="shared" si="25"/>
        <v>0</v>
      </c>
      <c r="P192" s="143">
        <v>98571.42857142858</v>
      </c>
      <c r="Q192" s="261">
        <f t="shared" si="26"/>
        <v>0</v>
      </c>
      <c r="R192" s="281">
        <v>65000</v>
      </c>
      <c r="S192" s="234">
        <f t="shared" si="27"/>
        <v>0</v>
      </c>
      <c r="T192" s="22">
        <v>98571.42857142858</v>
      </c>
      <c r="U192" s="261">
        <f t="shared" si="28"/>
        <v>0</v>
      </c>
      <c r="V192" s="281">
        <v>65000</v>
      </c>
      <c r="W192" s="234">
        <f t="shared" si="29"/>
        <v>0</v>
      </c>
      <c r="X192" s="22">
        <v>98571.42857142858</v>
      </c>
      <c r="Y192" s="261">
        <f t="shared" si="30"/>
        <v>0</v>
      </c>
    </row>
    <row r="193" spans="1:25">
      <c r="A193" s="2"/>
      <c r="B193" s="71">
        <v>189</v>
      </c>
      <c r="C193" s="198" t="s">
        <v>225</v>
      </c>
      <c r="D193" s="234">
        <v>63000</v>
      </c>
      <c r="E193" s="143">
        <v>94285.71428571429</v>
      </c>
      <c r="F193">
        <v>63000</v>
      </c>
      <c r="G193" s="234">
        <f t="shared" si="21"/>
        <v>0</v>
      </c>
      <c r="H193">
        <v>95714.285714285725</v>
      </c>
      <c r="I193" s="261">
        <f t="shared" si="22"/>
        <v>1428.5714285714348</v>
      </c>
      <c r="J193">
        <v>63000</v>
      </c>
      <c r="K193" s="234">
        <f t="shared" si="23"/>
        <v>0</v>
      </c>
      <c r="L193" s="143">
        <v>95714.285714285725</v>
      </c>
      <c r="M193" s="261">
        <f t="shared" si="24"/>
        <v>0</v>
      </c>
      <c r="N193" s="234">
        <v>63000</v>
      </c>
      <c r="O193" s="234">
        <f t="shared" si="25"/>
        <v>0</v>
      </c>
      <c r="P193" s="143">
        <v>95714.285714285725</v>
      </c>
      <c r="Q193" s="261">
        <f t="shared" si="26"/>
        <v>0</v>
      </c>
      <c r="R193" s="281">
        <v>63000</v>
      </c>
      <c r="S193" s="234">
        <f t="shared" si="27"/>
        <v>0</v>
      </c>
      <c r="T193" s="22">
        <v>95714.285714285725</v>
      </c>
      <c r="U193" s="261">
        <f t="shared" si="28"/>
        <v>0</v>
      </c>
      <c r="V193" s="281">
        <v>63000</v>
      </c>
      <c r="W193" s="234">
        <f t="shared" si="29"/>
        <v>0</v>
      </c>
      <c r="X193" s="22">
        <v>95714.285714285725</v>
      </c>
      <c r="Y193" s="261">
        <f t="shared" si="30"/>
        <v>0</v>
      </c>
    </row>
    <row r="194" spans="1:25">
      <c r="A194" s="2"/>
      <c r="B194" s="71">
        <v>190</v>
      </c>
      <c r="C194" s="198" t="s">
        <v>226</v>
      </c>
      <c r="D194" s="234">
        <v>72500</v>
      </c>
      <c r="E194" s="143">
        <v>109285.71428571429</v>
      </c>
      <c r="F194">
        <v>72500</v>
      </c>
      <c r="G194" s="234">
        <f t="shared" si="21"/>
        <v>0</v>
      </c>
      <c r="H194">
        <v>109285.71428571429</v>
      </c>
      <c r="I194" s="261">
        <f t="shared" si="22"/>
        <v>0</v>
      </c>
      <c r="J194">
        <v>72500</v>
      </c>
      <c r="K194" s="234">
        <f t="shared" si="23"/>
        <v>0</v>
      </c>
      <c r="L194" s="143">
        <v>109285.71428571429</v>
      </c>
      <c r="M194" s="261">
        <f t="shared" si="24"/>
        <v>0</v>
      </c>
      <c r="N194" s="234">
        <v>72500</v>
      </c>
      <c r="O194" s="234">
        <f t="shared" si="25"/>
        <v>0</v>
      </c>
      <c r="P194" s="143">
        <v>109285.71428571429</v>
      </c>
      <c r="Q194" s="261">
        <f t="shared" si="26"/>
        <v>0</v>
      </c>
      <c r="R194" s="281">
        <v>72500</v>
      </c>
      <c r="S194" s="234">
        <f t="shared" si="27"/>
        <v>0</v>
      </c>
      <c r="T194" s="22">
        <v>109285.71428571429</v>
      </c>
      <c r="U194" s="261">
        <f t="shared" si="28"/>
        <v>0</v>
      </c>
      <c r="V194" s="281">
        <v>72500</v>
      </c>
      <c r="W194" s="234">
        <f t="shared" si="29"/>
        <v>0</v>
      </c>
      <c r="X194" s="22">
        <v>109285.71428571429</v>
      </c>
      <c r="Y194" s="261">
        <f t="shared" si="30"/>
        <v>0</v>
      </c>
    </row>
    <row r="195" spans="1:25">
      <c r="A195" s="2"/>
      <c r="B195" s="2">
        <v>191</v>
      </c>
      <c r="C195" s="198" t="s">
        <v>227</v>
      </c>
      <c r="D195" s="234">
        <v>70000</v>
      </c>
      <c r="E195" s="143">
        <v>104285.71428571429</v>
      </c>
      <c r="F195">
        <v>70000</v>
      </c>
      <c r="G195" s="234">
        <f t="shared" si="21"/>
        <v>0</v>
      </c>
      <c r="H195">
        <v>105714.28571428572</v>
      </c>
      <c r="I195" s="261">
        <f t="shared" si="22"/>
        <v>1428.5714285714348</v>
      </c>
      <c r="J195">
        <v>70000</v>
      </c>
      <c r="K195" s="234">
        <f t="shared" si="23"/>
        <v>0</v>
      </c>
      <c r="L195" s="143">
        <v>105714.28571428572</v>
      </c>
      <c r="M195" s="261">
        <f t="shared" si="24"/>
        <v>0</v>
      </c>
      <c r="N195" s="234">
        <v>70000</v>
      </c>
      <c r="O195" s="234">
        <f t="shared" si="25"/>
        <v>0</v>
      </c>
      <c r="P195" s="143">
        <v>105714.28571428572</v>
      </c>
      <c r="Q195" s="261">
        <f t="shared" si="26"/>
        <v>0</v>
      </c>
      <c r="R195" s="281">
        <v>70000</v>
      </c>
      <c r="S195" s="234">
        <f t="shared" si="27"/>
        <v>0</v>
      </c>
      <c r="T195" s="22">
        <v>105714.28571428572</v>
      </c>
      <c r="U195" s="261">
        <f t="shared" si="28"/>
        <v>0</v>
      </c>
      <c r="V195" s="281">
        <v>70000</v>
      </c>
      <c r="W195" s="234">
        <f t="shared" si="29"/>
        <v>0</v>
      </c>
      <c r="X195" s="22">
        <v>105714.28571428572</v>
      </c>
      <c r="Y195" s="261">
        <f t="shared" si="30"/>
        <v>0</v>
      </c>
    </row>
    <row r="196" spans="1:25">
      <c r="A196" s="2"/>
      <c r="B196" s="71">
        <v>192</v>
      </c>
      <c r="C196" s="204" t="s">
        <v>663</v>
      </c>
      <c r="D196" s="234">
        <v>76450</v>
      </c>
      <c r="E196" s="143">
        <v>106357.14285714287</v>
      </c>
      <c r="F196">
        <v>76450</v>
      </c>
      <c r="G196" s="234">
        <f t="shared" si="21"/>
        <v>0</v>
      </c>
      <c r="H196">
        <v>106357.14285714287</v>
      </c>
      <c r="I196" s="261">
        <f t="shared" si="22"/>
        <v>0</v>
      </c>
      <c r="J196">
        <v>76450</v>
      </c>
      <c r="K196" s="234">
        <f t="shared" si="23"/>
        <v>0</v>
      </c>
      <c r="L196" s="143">
        <v>106357.14285714287</v>
      </c>
      <c r="M196" s="261">
        <f t="shared" si="24"/>
        <v>0</v>
      </c>
      <c r="N196" s="234">
        <v>76450</v>
      </c>
      <c r="O196" s="234">
        <f t="shared" si="25"/>
        <v>0</v>
      </c>
      <c r="P196" s="143">
        <v>107785.71428571429</v>
      </c>
      <c r="Q196" s="261">
        <f t="shared" si="26"/>
        <v>1428.5714285714203</v>
      </c>
      <c r="R196" s="281">
        <v>76450</v>
      </c>
      <c r="S196" s="234">
        <f t="shared" si="27"/>
        <v>0</v>
      </c>
      <c r="T196" s="22">
        <v>107785.71428571429</v>
      </c>
      <c r="U196" s="261">
        <f t="shared" si="28"/>
        <v>0</v>
      </c>
      <c r="V196" s="281">
        <v>76450</v>
      </c>
      <c r="W196" s="234">
        <f t="shared" si="29"/>
        <v>0</v>
      </c>
      <c r="X196" s="22">
        <v>107785.71428571429</v>
      </c>
      <c r="Y196" s="261">
        <f t="shared" si="30"/>
        <v>0</v>
      </c>
    </row>
    <row r="197" spans="1:25">
      <c r="A197" s="2"/>
      <c r="B197" s="71">
        <v>193</v>
      </c>
      <c r="C197" s="197" t="s">
        <v>230</v>
      </c>
      <c r="D197" s="234">
        <v>58950</v>
      </c>
      <c r="E197" s="143">
        <v>81357.142857142855</v>
      </c>
      <c r="F197">
        <v>58950</v>
      </c>
      <c r="G197" s="234">
        <f t="shared" si="21"/>
        <v>0</v>
      </c>
      <c r="H197">
        <v>81357.142857142855</v>
      </c>
      <c r="I197" s="261">
        <f t="shared" si="22"/>
        <v>0</v>
      </c>
      <c r="J197">
        <v>58950</v>
      </c>
      <c r="K197" s="234">
        <f t="shared" si="23"/>
        <v>0</v>
      </c>
      <c r="L197" s="143">
        <v>81357.142857142855</v>
      </c>
      <c r="M197" s="261">
        <f t="shared" si="24"/>
        <v>0</v>
      </c>
      <c r="N197" s="234">
        <v>58950</v>
      </c>
      <c r="O197" s="234">
        <f t="shared" si="25"/>
        <v>0</v>
      </c>
      <c r="P197" s="143">
        <v>81357.142857142855</v>
      </c>
      <c r="Q197" s="261">
        <f t="shared" si="26"/>
        <v>0</v>
      </c>
      <c r="R197" s="281">
        <v>58950</v>
      </c>
      <c r="S197" s="234">
        <f t="shared" si="27"/>
        <v>0</v>
      </c>
      <c r="T197" s="22">
        <v>81357.142857142855</v>
      </c>
      <c r="U197" s="261">
        <f t="shared" si="28"/>
        <v>0</v>
      </c>
      <c r="V197" s="281">
        <v>58950</v>
      </c>
      <c r="W197" s="234">
        <f t="shared" si="29"/>
        <v>0</v>
      </c>
      <c r="X197" s="22">
        <v>81357.142857142855</v>
      </c>
      <c r="Y197" s="261">
        <f t="shared" si="30"/>
        <v>0</v>
      </c>
    </row>
    <row r="198" spans="1:25">
      <c r="A198" s="2"/>
      <c r="B198" s="2">
        <v>194</v>
      </c>
      <c r="C198" s="197" t="s">
        <v>231</v>
      </c>
      <c r="D198" s="234">
        <v>55000</v>
      </c>
      <c r="E198" s="143">
        <v>75714.285714285725</v>
      </c>
      <c r="F198">
        <v>55000</v>
      </c>
      <c r="G198" s="234">
        <f t="shared" ref="G198:G261" si="31">F198-D198</f>
        <v>0</v>
      </c>
      <c r="H198">
        <v>75714.285714285725</v>
      </c>
      <c r="I198" s="261">
        <f t="shared" ref="I198:I261" si="32">H198-E198</f>
        <v>0</v>
      </c>
      <c r="J198">
        <v>55000</v>
      </c>
      <c r="K198" s="234">
        <f t="shared" ref="K198:K261" si="33">J198-F198</f>
        <v>0</v>
      </c>
      <c r="L198" s="143">
        <v>75714.285714285725</v>
      </c>
      <c r="M198" s="261">
        <f t="shared" ref="M198:M261" si="34">L198-H198</f>
        <v>0</v>
      </c>
      <c r="N198" s="234">
        <v>55000</v>
      </c>
      <c r="O198" s="234">
        <f t="shared" ref="O198:O261" si="35">N198-J198</f>
        <v>0</v>
      </c>
      <c r="P198" s="143">
        <v>75714.285714285725</v>
      </c>
      <c r="Q198" s="261">
        <f t="shared" ref="Q198:Q261" si="36">P198-L198</f>
        <v>0</v>
      </c>
      <c r="R198" s="281">
        <v>55000</v>
      </c>
      <c r="S198" s="234">
        <f t="shared" ref="S198:S261" si="37">R198-N198</f>
        <v>0</v>
      </c>
      <c r="T198" s="22">
        <v>75714.285714285725</v>
      </c>
      <c r="U198" s="261">
        <f t="shared" ref="U198:U261" si="38">T198-P198</f>
        <v>0</v>
      </c>
      <c r="V198" s="281">
        <v>55000</v>
      </c>
      <c r="W198" s="234">
        <f t="shared" ref="W198:W261" si="39">V198-R198</f>
        <v>0</v>
      </c>
      <c r="X198" s="22">
        <v>75714.285714285725</v>
      </c>
      <c r="Y198" s="261">
        <f t="shared" ref="Y198:Y261" si="40">X198-T198</f>
        <v>0</v>
      </c>
    </row>
    <row r="199" spans="1:25">
      <c r="A199" s="2"/>
      <c r="B199" s="71">
        <v>195</v>
      </c>
      <c r="C199" s="197" t="s">
        <v>232</v>
      </c>
      <c r="D199" s="234">
        <v>71450</v>
      </c>
      <c r="E199" s="143">
        <v>99214.285714285725</v>
      </c>
      <c r="F199">
        <v>71450</v>
      </c>
      <c r="G199" s="234">
        <f t="shared" si="31"/>
        <v>0</v>
      </c>
      <c r="H199">
        <v>99214.285714285725</v>
      </c>
      <c r="I199" s="261">
        <f t="shared" si="32"/>
        <v>0</v>
      </c>
      <c r="J199">
        <v>71450</v>
      </c>
      <c r="K199" s="234">
        <f t="shared" si="33"/>
        <v>0</v>
      </c>
      <c r="L199" s="143">
        <v>99214.285714285725</v>
      </c>
      <c r="M199" s="261">
        <f t="shared" si="34"/>
        <v>0</v>
      </c>
      <c r="N199" s="234">
        <v>71450</v>
      </c>
      <c r="O199" s="234">
        <f t="shared" si="35"/>
        <v>0</v>
      </c>
      <c r="P199" s="143">
        <v>99214.285714285725</v>
      </c>
      <c r="Q199" s="261">
        <f t="shared" si="36"/>
        <v>0</v>
      </c>
      <c r="R199" s="281">
        <v>71450</v>
      </c>
      <c r="S199" s="234">
        <f t="shared" si="37"/>
        <v>0</v>
      </c>
      <c r="T199" s="22">
        <v>99214.285714285725</v>
      </c>
      <c r="U199" s="261">
        <f t="shared" si="38"/>
        <v>0</v>
      </c>
      <c r="V199" s="281">
        <v>71450</v>
      </c>
      <c r="W199" s="234">
        <f t="shared" si="39"/>
        <v>0</v>
      </c>
      <c r="X199" s="22">
        <v>99214.285714285725</v>
      </c>
      <c r="Y199" s="261">
        <f t="shared" si="40"/>
        <v>0</v>
      </c>
    </row>
    <row r="200" spans="1:25">
      <c r="A200" s="2"/>
      <c r="B200" s="71">
        <v>196</v>
      </c>
      <c r="C200" s="197" t="s">
        <v>233</v>
      </c>
      <c r="D200" s="234">
        <v>76950</v>
      </c>
      <c r="E200" s="143">
        <v>112785.71428571429</v>
      </c>
      <c r="F200">
        <v>76950</v>
      </c>
      <c r="G200" s="234">
        <f t="shared" si="31"/>
        <v>0</v>
      </c>
      <c r="H200">
        <v>112785.71428571429</v>
      </c>
      <c r="I200" s="261">
        <f t="shared" si="32"/>
        <v>0</v>
      </c>
      <c r="J200">
        <v>76950</v>
      </c>
      <c r="K200" s="234">
        <f t="shared" si="33"/>
        <v>0</v>
      </c>
      <c r="L200" s="143">
        <v>112785.71428571429</v>
      </c>
      <c r="M200" s="261">
        <f t="shared" si="34"/>
        <v>0</v>
      </c>
      <c r="N200" s="234">
        <v>76950</v>
      </c>
      <c r="O200" s="234">
        <f t="shared" si="35"/>
        <v>0</v>
      </c>
      <c r="P200" s="143">
        <v>112785.71428571429</v>
      </c>
      <c r="Q200" s="261">
        <f t="shared" si="36"/>
        <v>0</v>
      </c>
      <c r="R200" s="281">
        <v>76950</v>
      </c>
      <c r="S200" s="234">
        <f t="shared" si="37"/>
        <v>0</v>
      </c>
      <c r="T200" s="22">
        <v>112785.71428571429</v>
      </c>
      <c r="U200" s="261">
        <f t="shared" si="38"/>
        <v>0</v>
      </c>
      <c r="V200" s="281">
        <v>76950</v>
      </c>
      <c r="W200" s="234">
        <f t="shared" si="39"/>
        <v>0</v>
      </c>
      <c r="X200" s="22">
        <v>112785.71428571429</v>
      </c>
      <c r="Y200" s="261">
        <f t="shared" si="40"/>
        <v>0</v>
      </c>
    </row>
    <row r="201" spans="1:25">
      <c r="A201" s="2"/>
      <c r="B201" s="2">
        <v>197</v>
      </c>
      <c r="C201" s="197" t="s">
        <v>235</v>
      </c>
      <c r="D201" s="234">
        <v>71450</v>
      </c>
      <c r="E201" s="143">
        <v>99214.285714285725</v>
      </c>
      <c r="F201">
        <v>71450</v>
      </c>
      <c r="G201" s="234">
        <f t="shared" si="31"/>
        <v>0</v>
      </c>
      <c r="H201">
        <v>99214.285714285725</v>
      </c>
      <c r="I201" s="261">
        <f t="shared" si="32"/>
        <v>0</v>
      </c>
      <c r="J201">
        <v>71450</v>
      </c>
      <c r="K201" s="234">
        <f t="shared" si="33"/>
        <v>0</v>
      </c>
      <c r="L201" s="143">
        <v>99214.285714285725</v>
      </c>
      <c r="M201" s="261">
        <f t="shared" si="34"/>
        <v>0</v>
      </c>
      <c r="N201" s="234">
        <v>71450</v>
      </c>
      <c r="O201" s="234">
        <f t="shared" si="35"/>
        <v>0</v>
      </c>
      <c r="P201" s="143">
        <v>99214.285714285725</v>
      </c>
      <c r="Q201" s="261">
        <f t="shared" si="36"/>
        <v>0</v>
      </c>
      <c r="R201" s="281">
        <v>71450</v>
      </c>
      <c r="S201" s="234">
        <f t="shared" si="37"/>
        <v>0</v>
      </c>
      <c r="T201" s="22">
        <v>99214.285714285725</v>
      </c>
      <c r="U201" s="261">
        <f t="shared" si="38"/>
        <v>0</v>
      </c>
      <c r="V201" s="281">
        <v>71450</v>
      </c>
      <c r="W201" s="234">
        <f t="shared" si="39"/>
        <v>0</v>
      </c>
      <c r="X201" s="22">
        <v>99214.285714285725</v>
      </c>
      <c r="Y201" s="261">
        <f t="shared" si="40"/>
        <v>0</v>
      </c>
    </row>
    <row r="202" spans="1:25">
      <c r="A202" s="2"/>
      <c r="B202" s="71">
        <v>198</v>
      </c>
      <c r="C202" s="197" t="s">
        <v>236</v>
      </c>
      <c r="D202" s="234">
        <v>76450</v>
      </c>
      <c r="E202" s="143">
        <v>106357.14285714287</v>
      </c>
      <c r="F202">
        <v>76450</v>
      </c>
      <c r="G202" s="234">
        <f t="shared" si="31"/>
        <v>0</v>
      </c>
      <c r="H202">
        <v>106357.14285714287</v>
      </c>
      <c r="I202" s="261">
        <f t="shared" si="32"/>
        <v>0</v>
      </c>
      <c r="J202">
        <v>76450</v>
      </c>
      <c r="K202" s="234">
        <f t="shared" si="33"/>
        <v>0</v>
      </c>
      <c r="L202" s="143">
        <v>106357.14285714287</v>
      </c>
      <c r="M202" s="261">
        <f t="shared" si="34"/>
        <v>0</v>
      </c>
      <c r="N202" s="234">
        <v>76450</v>
      </c>
      <c r="O202" s="234">
        <f t="shared" si="35"/>
        <v>0</v>
      </c>
      <c r="P202" s="143">
        <v>106357.14285714287</v>
      </c>
      <c r="Q202" s="261">
        <f t="shared" si="36"/>
        <v>0</v>
      </c>
      <c r="R202" s="281">
        <v>76450</v>
      </c>
      <c r="S202" s="234">
        <f t="shared" si="37"/>
        <v>0</v>
      </c>
      <c r="T202" s="22">
        <v>106357.14285714287</v>
      </c>
      <c r="U202" s="261">
        <f t="shared" si="38"/>
        <v>0</v>
      </c>
      <c r="V202" s="281">
        <v>76450</v>
      </c>
      <c r="W202" s="234">
        <f t="shared" si="39"/>
        <v>0</v>
      </c>
      <c r="X202" s="22">
        <v>106357.14285714287</v>
      </c>
      <c r="Y202" s="261">
        <f t="shared" si="40"/>
        <v>0</v>
      </c>
    </row>
    <row r="203" spans="1:25">
      <c r="A203" s="2"/>
      <c r="B203" s="71">
        <v>199</v>
      </c>
      <c r="C203" s="197" t="s">
        <v>237</v>
      </c>
      <c r="D203" s="234">
        <v>61750</v>
      </c>
      <c r="E203" s="143">
        <v>85357.14285714287</v>
      </c>
      <c r="F203">
        <v>61750</v>
      </c>
      <c r="G203" s="234">
        <f t="shared" si="31"/>
        <v>0</v>
      </c>
      <c r="H203">
        <v>85357.14285714287</v>
      </c>
      <c r="I203" s="261">
        <f t="shared" si="32"/>
        <v>0</v>
      </c>
      <c r="J203">
        <v>61750</v>
      </c>
      <c r="K203" s="234">
        <f t="shared" si="33"/>
        <v>0</v>
      </c>
      <c r="L203" s="143">
        <v>85357.14285714287</v>
      </c>
      <c r="M203" s="261">
        <f t="shared" si="34"/>
        <v>0</v>
      </c>
      <c r="N203" s="234">
        <v>61750</v>
      </c>
      <c r="O203" s="234">
        <f t="shared" si="35"/>
        <v>0</v>
      </c>
      <c r="P203" s="143">
        <v>85357.14285714287</v>
      </c>
      <c r="Q203" s="261">
        <f t="shared" si="36"/>
        <v>0</v>
      </c>
      <c r="R203" s="281">
        <v>61750</v>
      </c>
      <c r="S203" s="234">
        <f t="shared" si="37"/>
        <v>0</v>
      </c>
      <c r="T203" s="22">
        <v>85357.14285714287</v>
      </c>
      <c r="U203" s="261">
        <f t="shared" si="38"/>
        <v>0</v>
      </c>
      <c r="V203" s="281">
        <v>61750</v>
      </c>
      <c r="W203" s="234">
        <f t="shared" si="39"/>
        <v>0</v>
      </c>
      <c r="X203" s="22">
        <v>85357.14285714287</v>
      </c>
      <c r="Y203" s="261">
        <f t="shared" si="40"/>
        <v>0</v>
      </c>
    </row>
    <row r="204" spans="1:25">
      <c r="A204" s="2"/>
      <c r="B204" s="2">
        <v>200</v>
      </c>
      <c r="C204" s="197" t="s">
        <v>238</v>
      </c>
      <c r="D204" s="234">
        <v>76450</v>
      </c>
      <c r="E204" s="143">
        <v>106357.14285714287</v>
      </c>
      <c r="F204">
        <v>76450</v>
      </c>
      <c r="G204" s="234">
        <f t="shared" si="31"/>
        <v>0</v>
      </c>
      <c r="H204">
        <v>106357.14285714287</v>
      </c>
      <c r="I204" s="261">
        <f t="shared" si="32"/>
        <v>0</v>
      </c>
      <c r="J204">
        <v>76450</v>
      </c>
      <c r="K204" s="234">
        <f t="shared" si="33"/>
        <v>0</v>
      </c>
      <c r="L204" s="143">
        <v>106357.14285714287</v>
      </c>
      <c r="M204" s="261">
        <f t="shared" si="34"/>
        <v>0</v>
      </c>
      <c r="N204" s="234">
        <v>76450</v>
      </c>
      <c r="O204" s="234">
        <f t="shared" si="35"/>
        <v>0</v>
      </c>
      <c r="P204" s="143">
        <v>106357.14285714287</v>
      </c>
      <c r="Q204" s="261">
        <f t="shared" si="36"/>
        <v>0</v>
      </c>
      <c r="R204" s="281">
        <v>76450</v>
      </c>
      <c r="S204" s="234">
        <f t="shared" si="37"/>
        <v>0</v>
      </c>
      <c r="T204" s="22">
        <v>106357.14285714287</v>
      </c>
      <c r="U204" s="261">
        <f t="shared" si="38"/>
        <v>0</v>
      </c>
      <c r="V204" s="281">
        <v>76450</v>
      </c>
      <c r="W204" s="234">
        <f t="shared" si="39"/>
        <v>0</v>
      </c>
      <c r="X204" s="22">
        <v>106357.14285714287</v>
      </c>
      <c r="Y204" s="261">
        <f t="shared" si="40"/>
        <v>0</v>
      </c>
    </row>
    <row r="205" spans="1:25">
      <c r="A205" s="2"/>
      <c r="B205" s="71">
        <v>201</v>
      </c>
      <c r="C205" s="48" t="s">
        <v>240</v>
      </c>
      <c r="D205" s="234">
        <v>101950</v>
      </c>
      <c r="E205" s="143">
        <v>145642.85714285716</v>
      </c>
      <c r="F205">
        <v>101950</v>
      </c>
      <c r="G205" s="234">
        <f t="shared" si="31"/>
        <v>0</v>
      </c>
      <c r="H205">
        <v>145642.85714285716</v>
      </c>
      <c r="I205" s="261">
        <f t="shared" si="32"/>
        <v>0</v>
      </c>
      <c r="J205">
        <v>101950</v>
      </c>
      <c r="K205" s="234">
        <f t="shared" si="33"/>
        <v>0</v>
      </c>
      <c r="L205" s="143">
        <v>145642.85714285716</v>
      </c>
      <c r="M205" s="261">
        <f t="shared" si="34"/>
        <v>0</v>
      </c>
      <c r="N205" s="234">
        <v>101950</v>
      </c>
      <c r="O205" s="234">
        <f t="shared" si="35"/>
        <v>0</v>
      </c>
      <c r="P205" s="143">
        <v>145642.85714285716</v>
      </c>
      <c r="Q205" s="261">
        <f t="shared" si="36"/>
        <v>0</v>
      </c>
      <c r="R205" s="281">
        <v>101950</v>
      </c>
      <c r="S205" s="234">
        <f t="shared" si="37"/>
        <v>0</v>
      </c>
      <c r="T205" s="22">
        <v>145642.85714285716</v>
      </c>
      <c r="U205" s="261">
        <f t="shared" si="38"/>
        <v>0</v>
      </c>
      <c r="V205" s="281">
        <v>101950</v>
      </c>
      <c r="W205" s="234">
        <f t="shared" si="39"/>
        <v>0</v>
      </c>
      <c r="X205" s="22">
        <v>145642.85714285716</v>
      </c>
      <c r="Y205" s="261">
        <f t="shared" si="40"/>
        <v>0</v>
      </c>
    </row>
    <row r="206" spans="1:25">
      <c r="A206" s="71" t="s">
        <v>856</v>
      </c>
      <c r="B206" s="71">
        <v>202</v>
      </c>
      <c r="C206" s="48" t="s">
        <v>242</v>
      </c>
      <c r="D206" s="234">
        <v>91950</v>
      </c>
      <c r="E206" s="143">
        <v>131357.14285714287</v>
      </c>
      <c r="F206">
        <v>91650</v>
      </c>
      <c r="G206" s="234">
        <f t="shared" si="31"/>
        <v>-300</v>
      </c>
      <c r="H206">
        <v>130928.57142857143</v>
      </c>
      <c r="I206" s="261">
        <f t="shared" si="32"/>
        <v>-428.57142857143481</v>
      </c>
      <c r="J206">
        <v>91650</v>
      </c>
      <c r="K206" s="234">
        <f t="shared" si="33"/>
        <v>0</v>
      </c>
      <c r="L206" s="143">
        <v>130928.57142857143</v>
      </c>
      <c r="M206" s="261">
        <f t="shared" si="34"/>
        <v>0</v>
      </c>
      <c r="N206" s="234">
        <v>91650</v>
      </c>
      <c r="O206" s="234">
        <f t="shared" si="35"/>
        <v>0</v>
      </c>
      <c r="P206" s="143">
        <v>130928.57142857143</v>
      </c>
      <c r="Q206" s="261">
        <f t="shared" si="36"/>
        <v>0</v>
      </c>
      <c r="R206" s="281">
        <v>91650</v>
      </c>
      <c r="S206" s="234">
        <f t="shared" si="37"/>
        <v>0</v>
      </c>
      <c r="T206" s="22">
        <v>130928.57142857143</v>
      </c>
      <c r="U206" s="261">
        <f t="shared" si="38"/>
        <v>0</v>
      </c>
      <c r="V206" s="281">
        <v>91650</v>
      </c>
      <c r="W206" s="234">
        <f t="shared" si="39"/>
        <v>0</v>
      </c>
      <c r="X206" s="22">
        <v>130928.57142857143</v>
      </c>
      <c r="Y206" s="261">
        <f t="shared" si="40"/>
        <v>0</v>
      </c>
    </row>
    <row r="207" spans="1:25">
      <c r="A207" s="2"/>
      <c r="B207" s="2">
        <v>203</v>
      </c>
      <c r="C207" s="48" t="s">
        <v>243</v>
      </c>
      <c r="D207" s="234">
        <v>91950</v>
      </c>
      <c r="E207" s="143">
        <v>131357.14285714287</v>
      </c>
      <c r="F207">
        <v>91950</v>
      </c>
      <c r="G207" s="234">
        <f t="shared" si="31"/>
        <v>0</v>
      </c>
      <c r="H207">
        <v>131357.14285714287</v>
      </c>
      <c r="I207" s="261">
        <f t="shared" si="32"/>
        <v>0</v>
      </c>
      <c r="J207">
        <v>91950</v>
      </c>
      <c r="K207" s="234">
        <f t="shared" si="33"/>
        <v>0</v>
      </c>
      <c r="L207" s="143">
        <v>131357.14285714287</v>
      </c>
      <c r="M207" s="261">
        <f t="shared" si="34"/>
        <v>0</v>
      </c>
      <c r="N207" s="234">
        <v>91950</v>
      </c>
      <c r="O207" s="234">
        <f t="shared" si="35"/>
        <v>0</v>
      </c>
      <c r="P207" s="143">
        <v>131357.14285714287</v>
      </c>
      <c r="Q207" s="261">
        <f t="shared" si="36"/>
        <v>0</v>
      </c>
      <c r="R207" s="281">
        <v>91950</v>
      </c>
      <c r="S207" s="234">
        <f t="shared" si="37"/>
        <v>0</v>
      </c>
      <c r="T207" s="22">
        <v>131357.14285714287</v>
      </c>
      <c r="U207" s="261">
        <f t="shared" si="38"/>
        <v>0</v>
      </c>
      <c r="V207" s="281">
        <v>91950</v>
      </c>
      <c r="W207" s="234">
        <f t="shared" si="39"/>
        <v>0</v>
      </c>
      <c r="X207" s="22">
        <v>131357.14285714287</v>
      </c>
      <c r="Y207" s="261">
        <f t="shared" si="40"/>
        <v>0</v>
      </c>
    </row>
    <row r="208" spans="1:25">
      <c r="A208" s="2"/>
      <c r="B208" s="71">
        <v>204</v>
      </c>
      <c r="C208" s="48" t="s">
        <v>244</v>
      </c>
      <c r="D208" s="234">
        <v>74000</v>
      </c>
      <c r="E208" s="143">
        <v>108571.42857142858</v>
      </c>
      <c r="F208">
        <v>74000</v>
      </c>
      <c r="G208" s="234">
        <f t="shared" si="31"/>
        <v>0</v>
      </c>
      <c r="H208">
        <v>108571.42857142858</v>
      </c>
      <c r="I208" s="261">
        <f t="shared" si="32"/>
        <v>0</v>
      </c>
      <c r="J208">
        <v>74000</v>
      </c>
      <c r="K208" s="234">
        <f t="shared" si="33"/>
        <v>0</v>
      </c>
      <c r="L208" s="143">
        <v>108571.42857142858</v>
      </c>
      <c r="M208" s="261">
        <f t="shared" si="34"/>
        <v>0</v>
      </c>
      <c r="N208" s="234">
        <v>74000</v>
      </c>
      <c r="O208" s="234">
        <f t="shared" si="35"/>
        <v>0</v>
      </c>
      <c r="P208" s="143">
        <v>108571.42857142858</v>
      </c>
      <c r="Q208" s="261">
        <f t="shared" si="36"/>
        <v>0</v>
      </c>
      <c r="R208" s="281">
        <v>74000</v>
      </c>
      <c r="S208" s="234">
        <f t="shared" si="37"/>
        <v>0</v>
      </c>
      <c r="T208" s="22">
        <v>108571.42857142858</v>
      </c>
      <c r="U208" s="261">
        <f t="shared" si="38"/>
        <v>0</v>
      </c>
      <c r="V208" s="281">
        <v>74000</v>
      </c>
      <c r="W208" s="234">
        <f t="shared" si="39"/>
        <v>0</v>
      </c>
      <c r="X208" s="22">
        <v>108571.42857142858</v>
      </c>
      <c r="Y208" s="261">
        <f t="shared" si="40"/>
        <v>0</v>
      </c>
    </row>
    <row r="209" spans="1:25">
      <c r="A209" s="2"/>
      <c r="B209" s="71">
        <v>205</v>
      </c>
      <c r="C209" s="173" t="s">
        <v>664</v>
      </c>
      <c r="D209" s="234">
        <v>79000</v>
      </c>
      <c r="E209" s="143">
        <v>115714.28571428572</v>
      </c>
      <c r="F209">
        <v>79000</v>
      </c>
      <c r="G209" s="234">
        <f t="shared" si="31"/>
        <v>0</v>
      </c>
      <c r="H209">
        <v>115714.28571428572</v>
      </c>
      <c r="I209" s="261">
        <f t="shared" si="32"/>
        <v>0</v>
      </c>
      <c r="J209">
        <v>79000</v>
      </c>
      <c r="K209" s="234">
        <f t="shared" si="33"/>
        <v>0</v>
      </c>
      <c r="L209" s="143">
        <v>115714.28571428572</v>
      </c>
      <c r="M209" s="261">
        <f t="shared" si="34"/>
        <v>0</v>
      </c>
      <c r="N209" s="234">
        <v>79000</v>
      </c>
      <c r="O209" s="234">
        <f t="shared" si="35"/>
        <v>0</v>
      </c>
      <c r="P209" s="143">
        <v>115714.28571428572</v>
      </c>
      <c r="Q209" s="261">
        <f t="shared" si="36"/>
        <v>0</v>
      </c>
      <c r="R209" s="281">
        <v>79000</v>
      </c>
      <c r="S209" s="234">
        <f t="shared" si="37"/>
        <v>0</v>
      </c>
      <c r="T209" s="22">
        <v>115714.28571428572</v>
      </c>
      <c r="U209" s="261">
        <f t="shared" si="38"/>
        <v>0</v>
      </c>
      <c r="V209" s="281">
        <v>79000</v>
      </c>
      <c r="W209" s="234">
        <f t="shared" si="39"/>
        <v>0</v>
      </c>
      <c r="X209" s="22">
        <v>115714.28571428572</v>
      </c>
      <c r="Y209" s="261">
        <f t="shared" si="40"/>
        <v>0</v>
      </c>
    </row>
    <row r="210" spans="1:25">
      <c r="A210" s="2"/>
      <c r="B210" s="2">
        <v>206</v>
      </c>
      <c r="C210" s="48" t="s">
        <v>245</v>
      </c>
      <c r="D210" s="234">
        <v>77000</v>
      </c>
      <c r="E210" s="143">
        <v>112857.14285714287</v>
      </c>
      <c r="F210">
        <v>77000</v>
      </c>
      <c r="G210" s="234">
        <f t="shared" si="31"/>
        <v>0</v>
      </c>
      <c r="H210">
        <v>112857.14285714287</v>
      </c>
      <c r="I210" s="261">
        <f t="shared" si="32"/>
        <v>0</v>
      </c>
      <c r="J210">
        <v>77000</v>
      </c>
      <c r="K210" s="234">
        <f t="shared" si="33"/>
        <v>0</v>
      </c>
      <c r="L210" s="143">
        <v>112857.14285714287</v>
      </c>
      <c r="M210" s="261">
        <f t="shared" si="34"/>
        <v>0</v>
      </c>
      <c r="N210" s="234">
        <v>77000</v>
      </c>
      <c r="O210" s="234">
        <f t="shared" si="35"/>
        <v>0</v>
      </c>
      <c r="P210" s="143">
        <v>112857.14285714287</v>
      </c>
      <c r="Q210" s="261">
        <f t="shared" si="36"/>
        <v>0</v>
      </c>
      <c r="R210" s="281">
        <v>77000</v>
      </c>
      <c r="S210" s="234">
        <f t="shared" si="37"/>
        <v>0</v>
      </c>
      <c r="T210" s="22">
        <v>112857.14285714287</v>
      </c>
      <c r="U210" s="261">
        <f t="shared" si="38"/>
        <v>0</v>
      </c>
      <c r="V210" s="281">
        <v>77000</v>
      </c>
      <c r="W210" s="234">
        <f t="shared" si="39"/>
        <v>0</v>
      </c>
      <c r="X210" s="22">
        <v>112857.14285714287</v>
      </c>
      <c r="Y210" s="261">
        <f t="shared" si="40"/>
        <v>0</v>
      </c>
    </row>
    <row r="211" spans="1:25">
      <c r="A211" s="2"/>
      <c r="B211" s="71">
        <v>207</v>
      </c>
      <c r="C211" s="173" t="s">
        <v>665</v>
      </c>
      <c r="D211" s="234">
        <v>79000</v>
      </c>
      <c r="E211" s="143">
        <v>115714.28571428572</v>
      </c>
      <c r="F211">
        <v>79000</v>
      </c>
      <c r="G211" s="234">
        <f t="shared" si="31"/>
        <v>0</v>
      </c>
      <c r="H211">
        <v>115714.28571428572</v>
      </c>
      <c r="I211" s="261">
        <f t="shared" si="32"/>
        <v>0</v>
      </c>
      <c r="J211">
        <v>79000</v>
      </c>
      <c r="K211" s="234">
        <f t="shared" si="33"/>
        <v>0</v>
      </c>
      <c r="L211" s="143">
        <v>115714.28571428572</v>
      </c>
      <c r="M211" s="261">
        <f t="shared" si="34"/>
        <v>0</v>
      </c>
      <c r="N211" s="234">
        <v>79000</v>
      </c>
      <c r="O211" s="234">
        <f t="shared" si="35"/>
        <v>0</v>
      </c>
      <c r="P211" s="143">
        <v>115714.28571428572</v>
      </c>
      <c r="Q211" s="261">
        <f t="shared" si="36"/>
        <v>0</v>
      </c>
      <c r="R211" s="281">
        <v>79000</v>
      </c>
      <c r="S211" s="234">
        <f t="shared" si="37"/>
        <v>0</v>
      </c>
      <c r="T211" s="22">
        <v>115714.28571428572</v>
      </c>
      <c r="U211" s="261">
        <f t="shared" si="38"/>
        <v>0</v>
      </c>
      <c r="V211" s="281">
        <v>79000</v>
      </c>
      <c r="W211" s="234">
        <f t="shared" si="39"/>
        <v>0</v>
      </c>
      <c r="X211" s="22">
        <v>115714.28571428572</v>
      </c>
      <c r="Y211" s="261">
        <f t="shared" si="40"/>
        <v>0</v>
      </c>
    </row>
    <row r="212" spans="1:25">
      <c r="A212" s="2"/>
      <c r="B212" s="71">
        <v>208</v>
      </c>
      <c r="C212" s="173" t="s">
        <v>666</v>
      </c>
      <c r="D212" s="234">
        <v>66000</v>
      </c>
      <c r="E212" s="143">
        <v>97142.857142857145</v>
      </c>
      <c r="F212">
        <v>66000</v>
      </c>
      <c r="G212" s="234">
        <f t="shared" si="31"/>
        <v>0</v>
      </c>
      <c r="H212">
        <v>97142.857142857145</v>
      </c>
      <c r="I212" s="261">
        <f t="shared" si="32"/>
        <v>0</v>
      </c>
      <c r="J212">
        <v>66000</v>
      </c>
      <c r="K212" s="234">
        <f t="shared" si="33"/>
        <v>0</v>
      </c>
      <c r="L212" s="143">
        <v>97142.857142857145</v>
      </c>
      <c r="M212" s="261">
        <f t="shared" si="34"/>
        <v>0</v>
      </c>
      <c r="N212" s="234">
        <v>66000</v>
      </c>
      <c r="O212" s="234">
        <f t="shared" si="35"/>
        <v>0</v>
      </c>
      <c r="P212" s="143">
        <v>97142.857142857145</v>
      </c>
      <c r="Q212" s="261">
        <f t="shared" si="36"/>
        <v>0</v>
      </c>
      <c r="R212" s="281">
        <v>66000</v>
      </c>
      <c r="S212" s="234">
        <f t="shared" si="37"/>
        <v>0</v>
      </c>
      <c r="T212" s="22">
        <v>97142.857142857145</v>
      </c>
      <c r="U212" s="261">
        <f t="shared" si="38"/>
        <v>0</v>
      </c>
      <c r="V212" s="281">
        <v>66000</v>
      </c>
      <c r="W212" s="234">
        <f t="shared" si="39"/>
        <v>0</v>
      </c>
      <c r="X212" s="22">
        <v>97142.857142857145</v>
      </c>
      <c r="Y212" s="261">
        <f t="shared" si="40"/>
        <v>0</v>
      </c>
    </row>
    <row r="213" spans="1:25">
      <c r="A213" s="2"/>
      <c r="B213" s="2">
        <v>209</v>
      </c>
      <c r="C213" s="48" t="s">
        <v>246</v>
      </c>
      <c r="D213" s="234">
        <v>73000</v>
      </c>
      <c r="E213" s="143">
        <v>107142.85714285714</v>
      </c>
      <c r="F213">
        <v>73000</v>
      </c>
      <c r="G213" s="234">
        <f t="shared" si="31"/>
        <v>0</v>
      </c>
      <c r="H213">
        <v>107142.85714285714</v>
      </c>
      <c r="I213" s="261">
        <f t="shared" si="32"/>
        <v>0</v>
      </c>
      <c r="J213">
        <v>73000</v>
      </c>
      <c r="K213" s="234">
        <f t="shared" si="33"/>
        <v>0</v>
      </c>
      <c r="L213" s="143">
        <v>107142.85714285714</v>
      </c>
      <c r="M213" s="261">
        <f t="shared" si="34"/>
        <v>0</v>
      </c>
      <c r="N213" s="234">
        <v>73000</v>
      </c>
      <c r="O213" s="234">
        <f t="shared" si="35"/>
        <v>0</v>
      </c>
      <c r="P213" s="143">
        <v>107142.85714285714</v>
      </c>
      <c r="Q213" s="261">
        <f t="shared" si="36"/>
        <v>0</v>
      </c>
      <c r="R213" s="281">
        <v>73000</v>
      </c>
      <c r="S213" s="234">
        <f t="shared" si="37"/>
        <v>0</v>
      </c>
      <c r="T213" s="22">
        <v>107142.85714285714</v>
      </c>
      <c r="U213" s="261">
        <f t="shared" si="38"/>
        <v>0</v>
      </c>
      <c r="V213" s="281">
        <v>73000</v>
      </c>
      <c r="W213" s="234">
        <f t="shared" si="39"/>
        <v>0</v>
      </c>
      <c r="X213" s="22">
        <v>107142.85714285714</v>
      </c>
      <c r="Y213" s="261">
        <f t="shared" si="40"/>
        <v>0</v>
      </c>
    </row>
    <row r="214" spans="1:25">
      <c r="A214" s="2"/>
      <c r="B214" s="71">
        <v>210</v>
      </c>
      <c r="C214" s="48" t="s">
        <v>247</v>
      </c>
      <c r="D214" s="234">
        <v>79000</v>
      </c>
      <c r="E214" s="143">
        <v>115714.28571428572</v>
      </c>
      <c r="F214">
        <v>79000</v>
      </c>
      <c r="G214" s="234">
        <f t="shared" si="31"/>
        <v>0</v>
      </c>
      <c r="H214">
        <v>115714.28571428572</v>
      </c>
      <c r="I214" s="261">
        <f t="shared" si="32"/>
        <v>0</v>
      </c>
      <c r="J214">
        <v>79000</v>
      </c>
      <c r="K214" s="234">
        <f t="shared" si="33"/>
        <v>0</v>
      </c>
      <c r="L214" s="143">
        <v>115714.28571428572</v>
      </c>
      <c r="M214" s="261">
        <f t="shared" si="34"/>
        <v>0</v>
      </c>
      <c r="N214" s="234">
        <v>79000</v>
      </c>
      <c r="O214" s="234">
        <f t="shared" si="35"/>
        <v>0</v>
      </c>
      <c r="P214" s="143">
        <v>115714.28571428572</v>
      </c>
      <c r="Q214" s="261">
        <f t="shared" si="36"/>
        <v>0</v>
      </c>
      <c r="R214" s="281">
        <v>79000</v>
      </c>
      <c r="S214" s="234">
        <f t="shared" si="37"/>
        <v>0</v>
      </c>
      <c r="T214" s="22">
        <v>115714.28571428572</v>
      </c>
      <c r="U214" s="261">
        <f t="shared" si="38"/>
        <v>0</v>
      </c>
      <c r="V214" s="281">
        <v>79000</v>
      </c>
      <c r="W214" s="234">
        <f t="shared" si="39"/>
        <v>0</v>
      </c>
      <c r="X214" s="22">
        <v>115714.28571428572</v>
      </c>
      <c r="Y214" s="261">
        <f t="shared" si="40"/>
        <v>0</v>
      </c>
    </row>
    <row r="215" spans="1:25">
      <c r="A215" s="2"/>
      <c r="B215" s="71">
        <v>211</v>
      </c>
      <c r="C215" s="173" t="s">
        <v>667</v>
      </c>
      <c r="D215" s="234">
        <v>83000</v>
      </c>
      <c r="E215" s="143">
        <v>121428.57142857143</v>
      </c>
      <c r="F215">
        <v>83000</v>
      </c>
      <c r="G215" s="234">
        <f t="shared" si="31"/>
        <v>0</v>
      </c>
      <c r="H215">
        <v>121428.57142857143</v>
      </c>
      <c r="I215" s="261">
        <f t="shared" si="32"/>
        <v>0</v>
      </c>
      <c r="J215">
        <v>83000</v>
      </c>
      <c r="K215" s="234">
        <f t="shared" si="33"/>
        <v>0</v>
      </c>
      <c r="L215" s="143">
        <v>121428.57142857143</v>
      </c>
      <c r="M215" s="261">
        <f t="shared" si="34"/>
        <v>0</v>
      </c>
      <c r="N215" s="234">
        <v>83000</v>
      </c>
      <c r="O215" s="234">
        <f t="shared" si="35"/>
        <v>0</v>
      </c>
      <c r="P215" s="143">
        <v>121428.57142857143</v>
      </c>
      <c r="Q215" s="261">
        <f t="shared" si="36"/>
        <v>0</v>
      </c>
      <c r="R215" s="281">
        <v>83000</v>
      </c>
      <c r="S215" s="234">
        <f t="shared" si="37"/>
        <v>0</v>
      </c>
      <c r="T215" s="22">
        <v>121428.57142857143</v>
      </c>
      <c r="U215" s="261">
        <f t="shared" si="38"/>
        <v>0</v>
      </c>
      <c r="V215" s="281">
        <v>83000</v>
      </c>
      <c r="W215" s="234">
        <f t="shared" si="39"/>
        <v>0</v>
      </c>
      <c r="X215" s="22">
        <v>121428.57142857143</v>
      </c>
      <c r="Y215" s="261">
        <f t="shared" si="40"/>
        <v>0</v>
      </c>
    </row>
    <row r="216" spans="1:25">
      <c r="A216" s="2"/>
      <c r="B216" s="2">
        <v>212</v>
      </c>
      <c r="C216" s="48" t="s">
        <v>248</v>
      </c>
      <c r="D216" s="234">
        <v>117500</v>
      </c>
      <c r="E216" s="143">
        <v>167857.14285714287</v>
      </c>
      <c r="F216">
        <v>117500</v>
      </c>
      <c r="G216" s="234">
        <f t="shared" si="31"/>
        <v>0</v>
      </c>
      <c r="H216">
        <v>167857.14285714287</v>
      </c>
      <c r="I216" s="261">
        <f t="shared" si="32"/>
        <v>0</v>
      </c>
      <c r="J216">
        <v>117500</v>
      </c>
      <c r="K216" s="234">
        <f t="shared" si="33"/>
        <v>0</v>
      </c>
      <c r="L216" s="143">
        <v>167857.14285714287</v>
      </c>
      <c r="M216" s="261">
        <f t="shared" si="34"/>
        <v>0</v>
      </c>
      <c r="N216" s="234">
        <v>117500</v>
      </c>
      <c r="O216" s="234">
        <f t="shared" si="35"/>
        <v>0</v>
      </c>
      <c r="P216" s="143">
        <v>167857.14285714287</v>
      </c>
      <c r="Q216" s="261">
        <f t="shared" si="36"/>
        <v>0</v>
      </c>
      <c r="R216" s="281">
        <v>117500</v>
      </c>
      <c r="S216" s="234">
        <f t="shared" si="37"/>
        <v>0</v>
      </c>
      <c r="T216" s="22">
        <v>167857.14285714287</v>
      </c>
      <c r="U216" s="261">
        <f t="shared" si="38"/>
        <v>0</v>
      </c>
      <c r="V216" s="281">
        <v>117500</v>
      </c>
      <c r="W216" s="234">
        <f t="shared" si="39"/>
        <v>0</v>
      </c>
      <c r="X216" s="22">
        <v>167857.14285714287</v>
      </c>
      <c r="Y216" s="261">
        <f t="shared" si="40"/>
        <v>0</v>
      </c>
    </row>
    <row r="217" spans="1:25">
      <c r="A217" s="2"/>
      <c r="B217" s="71">
        <v>213</v>
      </c>
      <c r="C217" s="48" t="s">
        <v>249</v>
      </c>
      <c r="D217" s="234">
        <v>81950</v>
      </c>
      <c r="E217" s="143">
        <v>117071.42857142858</v>
      </c>
      <c r="F217">
        <v>81950</v>
      </c>
      <c r="G217" s="234">
        <f t="shared" si="31"/>
        <v>0</v>
      </c>
      <c r="H217">
        <v>117071.42857142858</v>
      </c>
      <c r="I217" s="261">
        <f t="shared" si="32"/>
        <v>0</v>
      </c>
      <c r="J217">
        <v>81950</v>
      </c>
      <c r="K217" s="234">
        <f t="shared" si="33"/>
        <v>0</v>
      </c>
      <c r="L217" s="143">
        <v>117071.42857142858</v>
      </c>
      <c r="M217" s="261">
        <f t="shared" si="34"/>
        <v>0</v>
      </c>
      <c r="N217" s="234">
        <v>81950</v>
      </c>
      <c r="O217" s="234">
        <f t="shared" si="35"/>
        <v>0</v>
      </c>
      <c r="P217" s="143">
        <v>117071.42857142858</v>
      </c>
      <c r="Q217" s="261">
        <f t="shared" si="36"/>
        <v>0</v>
      </c>
      <c r="R217" s="281">
        <v>81950</v>
      </c>
      <c r="S217" s="234">
        <f t="shared" si="37"/>
        <v>0</v>
      </c>
      <c r="T217" s="22">
        <v>117071.42857142858</v>
      </c>
      <c r="U217" s="261">
        <f t="shared" si="38"/>
        <v>0</v>
      </c>
      <c r="V217" s="281">
        <v>81950</v>
      </c>
      <c r="W217" s="234">
        <f t="shared" si="39"/>
        <v>0</v>
      </c>
      <c r="X217" s="22">
        <v>117071.42857142858</v>
      </c>
      <c r="Y217" s="261">
        <f t="shared" si="40"/>
        <v>0</v>
      </c>
    </row>
    <row r="218" spans="1:25">
      <c r="A218" s="2"/>
      <c r="B218" s="71">
        <v>214</v>
      </c>
      <c r="C218" s="48" t="s">
        <v>251</v>
      </c>
      <c r="D218" s="234">
        <v>97500</v>
      </c>
      <c r="E218" s="143">
        <v>139285.71428571429</v>
      </c>
      <c r="F218">
        <v>97500</v>
      </c>
      <c r="G218" s="234">
        <f t="shared" si="31"/>
        <v>0</v>
      </c>
      <c r="H218">
        <v>139285.71428571429</v>
      </c>
      <c r="I218" s="261">
        <f t="shared" si="32"/>
        <v>0</v>
      </c>
      <c r="J218">
        <v>97500</v>
      </c>
      <c r="K218" s="234">
        <f t="shared" si="33"/>
        <v>0</v>
      </c>
      <c r="L218" s="143">
        <v>139285.71428571429</v>
      </c>
      <c r="M218" s="261">
        <f t="shared" si="34"/>
        <v>0</v>
      </c>
      <c r="N218" s="234">
        <v>97500</v>
      </c>
      <c r="O218" s="234">
        <f t="shared" si="35"/>
        <v>0</v>
      </c>
      <c r="P218" s="143">
        <v>139285.71428571429</v>
      </c>
      <c r="Q218" s="261">
        <f t="shared" si="36"/>
        <v>0</v>
      </c>
      <c r="R218" s="281">
        <v>97500</v>
      </c>
      <c r="S218" s="234">
        <f t="shared" si="37"/>
        <v>0</v>
      </c>
      <c r="T218" s="22">
        <v>139285.71428571429</v>
      </c>
      <c r="U218" s="261">
        <f t="shared" si="38"/>
        <v>0</v>
      </c>
      <c r="V218" s="281">
        <v>97500</v>
      </c>
      <c r="W218" s="234">
        <f t="shared" si="39"/>
        <v>0</v>
      </c>
      <c r="X218" s="22">
        <v>139285.71428571429</v>
      </c>
      <c r="Y218" s="261">
        <f t="shared" si="40"/>
        <v>0</v>
      </c>
    </row>
    <row r="219" spans="1:25">
      <c r="A219" s="2"/>
      <c r="B219" s="2">
        <v>215</v>
      </c>
      <c r="C219" s="48" t="s">
        <v>252</v>
      </c>
      <c r="D219" s="234">
        <v>79000</v>
      </c>
      <c r="E219" s="143">
        <v>115714.28571428572</v>
      </c>
      <c r="F219">
        <v>79000</v>
      </c>
      <c r="G219" s="234">
        <f t="shared" si="31"/>
        <v>0</v>
      </c>
      <c r="H219">
        <v>115714.28571428572</v>
      </c>
      <c r="I219" s="261">
        <f t="shared" si="32"/>
        <v>0</v>
      </c>
      <c r="J219">
        <v>79000</v>
      </c>
      <c r="K219" s="234">
        <f t="shared" si="33"/>
        <v>0</v>
      </c>
      <c r="L219" s="143">
        <v>115714.28571428572</v>
      </c>
      <c r="M219" s="261">
        <f t="shared" si="34"/>
        <v>0</v>
      </c>
      <c r="N219" s="234">
        <v>79000</v>
      </c>
      <c r="O219" s="234">
        <f t="shared" si="35"/>
        <v>0</v>
      </c>
      <c r="P219" s="143">
        <v>115714.28571428572</v>
      </c>
      <c r="Q219" s="261">
        <f t="shared" si="36"/>
        <v>0</v>
      </c>
      <c r="R219" s="281">
        <v>79000</v>
      </c>
      <c r="S219" s="234">
        <f t="shared" si="37"/>
        <v>0</v>
      </c>
      <c r="T219" s="22">
        <v>115714.28571428572</v>
      </c>
      <c r="U219" s="261">
        <f t="shared" si="38"/>
        <v>0</v>
      </c>
      <c r="V219" s="281">
        <v>79000</v>
      </c>
      <c r="W219" s="234">
        <f t="shared" si="39"/>
        <v>0</v>
      </c>
      <c r="X219" s="22">
        <v>115714.28571428572</v>
      </c>
      <c r="Y219" s="261">
        <f t="shared" si="40"/>
        <v>0</v>
      </c>
    </row>
    <row r="220" spans="1:25">
      <c r="A220" s="2"/>
      <c r="B220" s="71">
        <v>216</v>
      </c>
      <c r="C220" s="48" t="s">
        <v>253</v>
      </c>
      <c r="D220" s="234">
        <v>72500</v>
      </c>
      <c r="E220" s="143">
        <v>106428.57142857143</v>
      </c>
      <c r="F220">
        <v>72500</v>
      </c>
      <c r="G220" s="234">
        <f t="shared" si="31"/>
        <v>0</v>
      </c>
      <c r="H220">
        <v>106428.57142857143</v>
      </c>
      <c r="I220" s="261">
        <f t="shared" si="32"/>
        <v>0</v>
      </c>
      <c r="J220">
        <v>72500</v>
      </c>
      <c r="K220" s="234">
        <f t="shared" si="33"/>
        <v>0</v>
      </c>
      <c r="L220" s="143">
        <v>106428.57142857143</v>
      </c>
      <c r="M220" s="261">
        <f t="shared" si="34"/>
        <v>0</v>
      </c>
      <c r="N220" s="234">
        <v>72500</v>
      </c>
      <c r="O220" s="234">
        <f t="shared" si="35"/>
        <v>0</v>
      </c>
      <c r="P220" s="143">
        <v>106428.57142857143</v>
      </c>
      <c r="Q220" s="261">
        <f t="shared" si="36"/>
        <v>0</v>
      </c>
      <c r="R220" s="281">
        <v>72500</v>
      </c>
      <c r="S220" s="234">
        <f t="shared" si="37"/>
        <v>0</v>
      </c>
      <c r="T220" s="22">
        <v>106428.57142857143</v>
      </c>
      <c r="U220" s="261">
        <f t="shared" si="38"/>
        <v>0</v>
      </c>
      <c r="V220" s="281">
        <v>72500</v>
      </c>
      <c r="W220" s="234">
        <f t="shared" si="39"/>
        <v>0</v>
      </c>
      <c r="X220" s="22">
        <v>106428.57142857143</v>
      </c>
      <c r="Y220" s="261">
        <f t="shared" si="40"/>
        <v>0</v>
      </c>
    </row>
    <row r="221" spans="1:25">
      <c r="A221" s="71" t="s">
        <v>856</v>
      </c>
      <c r="B221" s="71">
        <v>217</v>
      </c>
      <c r="C221" s="48" t="s">
        <v>254</v>
      </c>
      <c r="D221" s="234">
        <v>105450</v>
      </c>
      <c r="E221" s="143">
        <v>150642.85714285716</v>
      </c>
      <c r="F221">
        <v>104650</v>
      </c>
      <c r="G221" s="234">
        <f t="shared" si="31"/>
        <v>-800</v>
      </c>
      <c r="H221">
        <v>149500</v>
      </c>
      <c r="I221" s="261">
        <f t="shared" si="32"/>
        <v>-1142.8571428571595</v>
      </c>
      <c r="J221">
        <v>104650</v>
      </c>
      <c r="K221" s="234">
        <f t="shared" si="33"/>
        <v>0</v>
      </c>
      <c r="L221" s="143">
        <v>149500</v>
      </c>
      <c r="M221" s="261">
        <f t="shared" si="34"/>
        <v>0</v>
      </c>
      <c r="N221" s="234">
        <v>104650</v>
      </c>
      <c r="O221" s="234">
        <f t="shared" si="35"/>
        <v>0</v>
      </c>
      <c r="P221" s="143">
        <v>149500</v>
      </c>
      <c r="Q221" s="261">
        <f t="shared" si="36"/>
        <v>0</v>
      </c>
      <c r="R221" s="281">
        <v>104650</v>
      </c>
      <c r="S221" s="234">
        <f t="shared" si="37"/>
        <v>0</v>
      </c>
      <c r="T221" s="22">
        <v>149500</v>
      </c>
      <c r="U221" s="261">
        <f t="shared" si="38"/>
        <v>0</v>
      </c>
      <c r="V221" s="281">
        <v>104650</v>
      </c>
      <c r="W221" s="234">
        <f t="shared" si="39"/>
        <v>0</v>
      </c>
      <c r="X221" s="22">
        <v>149500</v>
      </c>
      <c r="Y221" s="261">
        <f t="shared" si="40"/>
        <v>0</v>
      </c>
    </row>
    <row r="222" spans="1:25">
      <c r="A222" s="2"/>
      <c r="B222" s="2">
        <v>218</v>
      </c>
      <c r="C222" s="48" t="s">
        <v>255</v>
      </c>
      <c r="D222" s="234">
        <v>104000</v>
      </c>
      <c r="E222" s="143">
        <v>148571.42857142858</v>
      </c>
      <c r="F222">
        <v>104000</v>
      </c>
      <c r="G222" s="234">
        <f t="shared" si="31"/>
        <v>0</v>
      </c>
      <c r="H222">
        <v>148571.42857142858</v>
      </c>
      <c r="I222" s="261">
        <f t="shared" si="32"/>
        <v>0</v>
      </c>
      <c r="J222">
        <v>104000</v>
      </c>
      <c r="K222" s="234">
        <f t="shared" si="33"/>
        <v>0</v>
      </c>
      <c r="L222" s="143">
        <v>148571.42857142858</v>
      </c>
      <c r="M222" s="261">
        <f t="shared" si="34"/>
        <v>0</v>
      </c>
      <c r="N222" s="234">
        <v>104000</v>
      </c>
      <c r="O222" s="234">
        <f t="shared" si="35"/>
        <v>0</v>
      </c>
      <c r="P222" s="143">
        <v>148571.42857142858</v>
      </c>
      <c r="Q222" s="261">
        <f t="shared" si="36"/>
        <v>0</v>
      </c>
      <c r="R222" s="281">
        <v>104000</v>
      </c>
      <c r="S222" s="234">
        <f t="shared" si="37"/>
        <v>0</v>
      </c>
      <c r="T222" s="22">
        <v>148571.42857142858</v>
      </c>
      <c r="U222" s="261">
        <f t="shared" si="38"/>
        <v>0</v>
      </c>
      <c r="V222" s="281">
        <v>104000</v>
      </c>
      <c r="W222" s="234">
        <f t="shared" si="39"/>
        <v>0</v>
      </c>
      <c r="X222" s="22">
        <v>148571.42857142858</v>
      </c>
      <c r="Y222" s="261">
        <f t="shared" si="40"/>
        <v>0</v>
      </c>
    </row>
    <row r="223" spans="1:25">
      <c r="A223" s="2"/>
      <c r="B223" s="71">
        <v>219</v>
      </c>
      <c r="C223" s="173" t="s">
        <v>668</v>
      </c>
      <c r="D223" s="234">
        <v>100000</v>
      </c>
      <c r="E223" s="143">
        <v>142857.14285714287</v>
      </c>
      <c r="F223">
        <v>100000</v>
      </c>
      <c r="G223" s="234">
        <f t="shared" si="31"/>
        <v>0</v>
      </c>
      <c r="H223">
        <v>142857.14285714287</v>
      </c>
      <c r="I223" s="261">
        <f t="shared" si="32"/>
        <v>0</v>
      </c>
      <c r="J223">
        <v>100000</v>
      </c>
      <c r="K223" s="234">
        <f t="shared" si="33"/>
        <v>0</v>
      </c>
      <c r="L223" s="143">
        <v>142857.14285714287</v>
      </c>
      <c r="M223" s="261">
        <f t="shared" si="34"/>
        <v>0</v>
      </c>
      <c r="N223" s="234">
        <v>100000</v>
      </c>
      <c r="O223" s="234">
        <f t="shared" si="35"/>
        <v>0</v>
      </c>
      <c r="P223" s="143">
        <v>142857.14285714287</v>
      </c>
      <c r="Q223" s="261">
        <f t="shared" si="36"/>
        <v>0</v>
      </c>
      <c r="R223" s="281">
        <v>100000</v>
      </c>
      <c r="S223" s="234">
        <f t="shared" si="37"/>
        <v>0</v>
      </c>
      <c r="T223" s="22">
        <v>144285.71428571429</v>
      </c>
      <c r="U223" s="261">
        <f t="shared" si="38"/>
        <v>1428.5714285714203</v>
      </c>
      <c r="V223" s="281">
        <v>100000</v>
      </c>
      <c r="W223" s="234">
        <f t="shared" si="39"/>
        <v>0</v>
      </c>
      <c r="X223" s="22">
        <v>144285.71428571429</v>
      </c>
      <c r="Y223" s="261">
        <f t="shared" si="40"/>
        <v>0</v>
      </c>
    </row>
    <row r="224" spans="1:25">
      <c r="A224" s="71" t="s">
        <v>854</v>
      </c>
      <c r="B224" s="71">
        <v>220</v>
      </c>
      <c r="C224" s="48" t="s">
        <v>256</v>
      </c>
      <c r="D224" s="234">
        <v>97000</v>
      </c>
      <c r="E224" s="143">
        <v>141428.57142857145</v>
      </c>
      <c r="F224">
        <v>97000</v>
      </c>
      <c r="G224" s="234">
        <f t="shared" si="31"/>
        <v>0</v>
      </c>
      <c r="H224">
        <v>141428.57142857145</v>
      </c>
      <c r="I224" s="261">
        <f t="shared" si="32"/>
        <v>0</v>
      </c>
      <c r="J224">
        <v>97000</v>
      </c>
      <c r="K224" s="234">
        <f t="shared" si="33"/>
        <v>0</v>
      </c>
      <c r="L224" s="143">
        <v>141428.57142857145</v>
      </c>
      <c r="M224" s="261">
        <f t="shared" si="34"/>
        <v>0</v>
      </c>
      <c r="N224" s="234">
        <v>97000</v>
      </c>
      <c r="O224" s="234">
        <f t="shared" si="35"/>
        <v>0</v>
      </c>
      <c r="P224" s="143">
        <v>141428.57142857145</v>
      </c>
      <c r="Q224" s="261">
        <f t="shared" si="36"/>
        <v>0</v>
      </c>
      <c r="R224" s="281">
        <v>97000</v>
      </c>
      <c r="S224" s="234">
        <f t="shared" si="37"/>
        <v>0</v>
      </c>
      <c r="T224" s="22">
        <v>142857.14285714287</v>
      </c>
      <c r="U224" s="261">
        <f t="shared" si="38"/>
        <v>1428.5714285714203</v>
      </c>
      <c r="V224" s="281">
        <v>97000</v>
      </c>
      <c r="W224" s="234">
        <f t="shared" si="39"/>
        <v>0</v>
      </c>
      <c r="X224" s="22">
        <v>142857.14285714287</v>
      </c>
      <c r="Y224" s="261">
        <f t="shared" si="40"/>
        <v>0</v>
      </c>
    </row>
    <row r="225" spans="1:25">
      <c r="A225" s="2"/>
      <c r="B225" s="2">
        <v>221</v>
      </c>
      <c r="C225" s="48" t="s">
        <v>257</v>
      </c>
      <c r="D225" s="234">
        <v>92500</v>
      </c>
      <c r="E225" s="143">
        <v>132142.85714285716</v>
      </c>
      <c r="F225">
        <v>92500</v>
      </c>
      <c r="G225" s="234">
        <f t="shared" si="31"/>
        <v>0</v>
      </c>
      <c r="H225">
        <v>132142.85714285716</v>
      </c>
      <c r="I225" s="261">
        <f t="shared" si="32"/>
        <v>0</v>
      </c>
      <c r="J225">
        <v>92500</v>
      </c>
      <c r="K225" s="234">
        <f t="shared" si="33"/>
        <v>0</v>
      </c>
      <c r="L225" s="143">
        <v>132142.85714285716</v>
      </c>
      <c r="M225" s="261">
        <f t="shared" si="34"/>
        <v>0</v>
      </c>
      <c r="N225" s="234">
        <v>92500</v>
      </c>
      <c r="O225" s="234">
        <f t="shared" si="35"/>
        <v>0</v>
      </c>
      <c r="P225" s="143">
        <v>132142.85714285716</v>
      </c>
      <c r="Q225" s="261">
        <f t="shared" si="36"/>
        <v>0</v>
      </c>
      <c r="R225" s="281">
        <v>92500</v>
      </c>
      <c r="S225" s="234">
        <f t="shared" si="37"/>
        <v>0</v>
      </c>
      <c r="T225" s="22">
        <v>132142.85714285716</v>
      </c>
      <c r="U225" s="261">
        <f t="shared" si="38"/>
        <v>0</v>
      </c>
      <c r="V225" s="281">
        <v>92500</v>
      </c>
      <c r="W225" s="234">
        <f t="shared" si="39"/>
        <v>0</v>
      </c>
      <c r="X225" s="22">
        <v>132142.85714285716</v>
      </c>
      <c r="Y225" s="261">
        <f t="shared" si="40"/>
        <v>0</v>
      </c>
    </row>
    <row r="226" spans="1:25">
      <c r="A226" s="2"/>
      <c r="B226" s="71">
        <v>222</v>
      </c>
      <c r="C226" s="48" t="s">
        <v>258</v>
      </c>
      <c r="D226" s="234">
        <v>76950</v>
      </c>
      <c r="E226" s="143">
        <v>112785.71428571429</v>
      </c>
      <c r="F226">
        <v>76950</v>
      </c>
      <c r="G226" s="234">
        <f t="shared" si="31"/>
        <v>0</v>
      </c>
      <c r="H226">
        <v>112785.71428571429</v>
      </c>
      <c r="I226" s="261">
        <f t="shared" si="32"/>
        <v>0</v>
      </c>
      <c r="J226">
        <v>76950</v>
      </c>
      <c r="K226" s="234">
        <f t="shared" si="33"/>
        <v>0</v>
      </c>
      <c r="L226" s="143">
        <v>112785.71428571429</v>
      </c>
      <c r="M226" s="261">
        <f t="shared" si="34"/>
        <v>0</v>
      </c>
      <c r="N226" s="234">
        <v>76950</v>
      </c>
      <c r="O226" s="234">
        <f t="shared" si="35"/>
        <v>0</v>
      </c>
      <c r="P226" s="143">
        <v>112785.71428571429</v>
      </c>
      <c r="Q226" s="261">
        <f t="shared" si="36"/>
        <v>0</v>
      </c>
      <c r="R226" s="281">
        <v>76950</v>
      </c>
      <c r="S226" s="234">
        <f t="shared" si="37"/>
        <v>0</v>
      </c>
      <c r="T226" s="22">
        <v>112785.71428571429</v>
      </c>
      <c r="U226" s="261">
        <f t="shared" si="38"/>
        <v>0</v>
      </c>
      <c r="V226" s="281">
        <v>76950</v>
      </c>
      <c r="W226" s="234">
        <f t="shared" si="39"/>
        <v>0</v>
      </c>
      <c r="X226" s="22">
        <v>112785.71428571429</v>
      </c>
      <c r="Y226" s="261">
        <f t="shared" si="40"/>
        <v>0</v>
      </c>
    </row>
    <row r="227" spans="1:25">
      <c r="A227" s="2"/>
      <c r="B227" s="71">
        <v>223</v>
      </c>
      <c r="C227" s="48" t="s">
        <v>260</v>
      </c>
      <c r="D227" s="234">
        <v>100000</v>
      </c>
      <c r="E227" s="143">
        <v>142857.14285714287</v>
      </c>
      <c r="F227">
        <v>100000</v>
      </c>
      <c r="G227" s="234">
        <f t="shared" si="31"/>
        <v>0</v>
      </c>
      <c r="H227">
        <v>142857.14285714287</v>
      </c>
      <c r="I227" s="261">
        <f t="shared" si="32"/>
        <v>0</v>
      </c>
      <c r="J227">
        <v>100000</v>
      </c>
      <c r="K227" s="234">
        <f t="shared" si="33"/>
        <v>0</v>
      </c>
      <c r="L227" s="143">
        <v>142857.14285714287</v>
      </c>
      <c r="M227" s="261">
        <f t="shared" si="34"/>
        <v>0</v>
      </c>
      <c r="N227" s="234">
        <v>100000</v>
      </c>
      <c r="O227" s="234">
        <f t="shared" si="35"/>
        <v>0</v>
      </c>
      <c r="P227" s="143">
        <v>142857.14285714287</v>
      </c>
      <c r="Q227" s="261">
        <f t="shared" si="36"/>
        <v>0</v>
      </c>
      <c r="R227" s="281">
        <v>100000</v>
      </c>
      <c r="S227" s="234">
        <f t="shared" si="37"/>
        <v>0</v>
      </c>
      <c r="T227" s="22">
        <v>142857.14285714287</v>
      </c>
      <c r="U227" s="261">
        <f t="shared" si="38"/>
        <v>0</v>
      </c>
      <c r="V227" s="281">
        <v>100000</v>
      </c>
      <c r="W227" s="234">
        <f t="shared" si="39"/>
        <v>0</v>
      </c>
      <c r="X227" s="22">
        <v>142857.14285714287</v>
      </c>
      <c r="Y227" s="261">
        <f t="shared" si="40"/>
        <v>0</v>
      </c>
    </row>
    <row r="228" spans="1:25">
      <c r="A228" s="2"/>
      <c r="B228" s="2">
        <v>224</v>
      </c>
      <c r="C228" s="48" t="s">
        <v>261</v>
      </c>
      <c r="D228" s="234">
        <v>88650</v>
      </c>
      <c r="E228" s="143">
        <v>126642.85714285714</v>
      </c>
      <c r="F228">
        <v>88650</v>
      </c>
      <c r="G228" s="234">
        <f t="shared" si="31"/>
        <v>0</v>
      </c>
      <c r="H228">
        <v>126642.85714285714</v>
      </c>
      <c r="I228" s="261">
        <f t="shared" si="32"/>
        <v>0</v>
      </c>
      <c r="J228">
        <v>88650</v>
      </c>
      <c r="K228" s="234">
        <f t="shared" si="33"/>
        <v>0</v>
      </c>
      <c r="L228" s="143">
        <v>126642.85714285714</v>
      </c>
      <c r="M228" s="261">
        <f t="shared" si="34"/>
        <v>0</v>
      </c>
      <c r="N228" s="234">
        <v>88650</v>
      </c>
      <c r="O228" s="234">
        <f t="shared" si="35"/>
        <v>0</v>
      </c>
      <c r="P228" s="143">
        <v>126642.85714285714</v>
      </c>
      <c r="Q228" s="261">
        <f t="shared" si="36"/>
        <v>0</v>
      </c>
      <c r="R228" s="281">
        <v>88650</v>
      </c>
      <c r="S228" s="234">
        <f t="shared" si="37"/>
        <v>0</v>
      </c>
      <c r="T228" s="22">
        <v>126642.85714285714</v>
      </c>
      <c r="U228" s="261">
        <f t="shared" si="38"/>
        <v>0</v>
      </c>
      <c r="V228" s="281">
        <v>88650</v>
      </c>
      <c r="W228" s="234">
        <f t="shared" si="39"/>
        <v>0</v>
      </c>
      <c r="X228" s="22">
        <v>126642.85714285714</v>
      </c>
      <c r="Y228" s="261">
        <f t="shared" si="40"/>
        <v>0</v>
      </c>
    </row>
    <row r="229" spans="1:25">
      <c r="A229" s="2"/>
      <c r="B229" s="71">
        <v>225</v>
      </c>
      <c r="C229" s="48" t="s">
        <v>262</v>
      </c>
      <c r="D229" s="234">
        <v>100000</v>
      </c>
      <c r="E229" s="143">
        <v>144285.71428571429</v>
      </c>
      <c r="F229">
        <v>100000</v>
      </c>
      <c r="G229" s="234">
        <f t="shared" si="31"/>
        <v>0</v>
      </c>
      <c r="H229">
        <v>145714.28571428571</v>
      </c>
      <c r="I229" s="261">
        <f t="shared" si="32"/>
        <v>1428.5714285714203</v>
      </c>
      <c r="J229">
        <v>100000</v>
      </c>
      <c r="K229" s="234">
        <f t="shared" si="33"/>
        <v>0</v>
      </c>
      <c r="L229" s="143">
        <v>145714.28571428571</v>
      </c>
      <c r="M229" s="261">
        <f t="shared" si="34"/>
        <v>0</v>
      </c>
      <c r="N229" s="234">
        <v>100000</v>
      </c>
      <c r="O229" s="234">
        <f t="shared" si="35"/>
        <v>0</v>
      </c>
      <c r="P229" s="143">
        <v>145714.28571428571</v>
      </c>
      <c r="Q229" s="261">
        <f t="shared" si="36"/>
        <v>0</v>
      </c>
      <c r="R229" s="281">
        <v>100000</v>
      </c>
      <c r="S229" s="234">
        <f t="shared" si="37"/>
        <v>0</v>
      </c>
      <c r="T229" s="22">
        <v>145714.28571428571</v>
      </c>
      <c r="U229" s="261">
        <f t="shared" si="38"/>
        <v>0</v>
      </c>
      <c r="V229" s="281">
        <v>100000</v>
      </c>
      <c r="W229" s="234">
        <f t="shared" si="39"/>
        <v>0</v>
      </c>
      <c r="X229" s="22">
        <v>145714.28571428571</v>
      </c>
      <c r="Y229" s="261">
        <f t="shared" si="40"/>
        <v>0</v>
      </c>
    </row>
    <row r="230" spans="1:25">
      <c r="A230" s="2"/>
      <c r="B230" s="71">
        <v>226</v>
      </c>
      <c r="C230" s="48" t="s">
        <v>264</v>
      </c>
      <c r="D230" s="234">
        <v>99000</v>
      </c>
      <c r="E230" s="143">
        <v>142857.14285714287</v>
      </c>
      <c r="F230">
        <v>99000</v>
      </c>
      <c r="G230" s="234">
        <f t="shared" si="31"/>
        <v>0</v>
      </c>
      <c r="H230">
        <v>144285.71428571429</v>
      </c>
      <c r="I230" s="261">
        <f t="shared" si="32"/>
        <v>1428.5714285714203</v>
      </c>
      <c r="J230">
        <v>99000</v>
      </c>
      <c r="K230" s="234">
        <f t="shared" si="33"/>
        <v>0</v>
      </c>
      <c r="L230" s="143">
        <v>144285.71428571429</v>
      </c>
      <c r="M230" s="261">
        <f t="shared" si="34"/>
        <v>0</v>
      </c>
      <c r="N230" s="234">
        <v>99000</v>
      </c>
      <c r="O230" s="234">
        <f t="shared" si="35"/>
        <v>0</v>
      </c>
      <c r="P230" s="143">
        <v>144285.71428571429</v>
      </c>
      <c r="Q230" s="261">
        <f t="shared" si="36"/>
        <v>0</v>
      </c>
      <c r="R230" s="281">
        <v>99000</v>
      </c>
      <c r="S230" s="234">
        <f t="shared" si="37"/>
        <v>0</v>
      </c>
      <c r="T230" s="22">
        <v>144285.71428571429</v>
      </c>
      <c r="U230" s="261">
        <f t="shared" si="38"/>
        <v>0</v>
      </c>
      <c r="V230" s="281">
        <v>99000</v>
      </c>
      <c r="W230" s="234">
        <f t="shared" si="39"/>
        <v>0</v>
      </c>
      <c r="X230" s="22">
        <v>144285.71428571429</v>
      </c>
      <c r="Y230" s="261">
        <f t="shared" si="40"/>
        <v>0</v>
      </c>
    </row>
    <row r="231" spans="1:25">
      <c r="A231" s="2"/>
      <c r="B231" s="2">
        <v>227</v>
      </c>
      <c r="C231" s="48" t="s">
        <v>265</v>
      </c>
      <c r="D231" s="234">
        <v>97500</v>
      </c>
      <c r="E231" s="143">
        <v>140714.28571428571</v>
      </c>
      <c r="F231">
        <v>97500</v>
      </c>
      <c r="G231" s="234">
        <f t="shared" si="31"/>
        <v>0</v>
      </c>
      <c r="H231">
        <v>142142.85714285716</v>
      </c>
      <c r="I231" s="261">
        <f t="shared" si="32"/>
        <v>1428.5714285714494</v>
      </c>
      <c r="J231">
        <v>97500</v>
      </c>
      <c r="K231" s="234">
        <f t="shared" si="33"/>
        <v>0</v>
      </c>
      <c r="L231" s="143">
        <v>142142.85714285716</v>
      </c>
      <c r="M231" s="261">
        <f t="shared" si="34"/>
        <v>0</v>
      </c>
      <c r="N231" s="234">
        <v>97500</v>
      </c>
      <c r="O231" s="234">
        <f t="shared" si="35"/>
        <v>0</v>
      </c>
      <c r="P231" s="143">
        <v>142142.85714285716</v>
      </c>
      <c r="Q231" s="261">
        <f t="shared" si="36"/>
        <v>0</v>
      </c>
      <c r="R231" s="281">
        <v>97500</v>
      </c>
      <c r="S231" s="234">
        <f t="shared" si="37"/>
        <v>0</v>
      </c>
      <c r="T231" s="22">
        <v>142142.85714285716</v>
      </c>
      <c r="U231" s="261">
        <f t="shared" si="38"/>
        <v>0</v>
      </c>
      <c r="V231" s="281">
        <v>97500</v>
      </c>
      <c r="W231" s="234">
        <f t="shared" si="39"/>
        <v>0</v>
      </c>
      <c r="X231" s="22">
        <v>142142.85714285716</v>
      </c>
      <c r="Y231" s="261">
        <f t="shared" si="40"/>
        <v>0</v>
      </c>
    </row>
    <row r="232" spans="1:25">
      <c r="A232" s="2"/>
      <c r="B232" s="71">
        <v>228</v>
      </c>
      <c r="C232" s="173" t="s">
        <v>669</v>
      </c>
      <c r="D232" s="234">
        <v>100000</v>
      </c>
      <c r="E232" s="143">
        <v>144285.71428571429</v>
      </c>
      <c r="F232">
        <v>100000</v>
      </c>
      <c r="G232" s="234">
        <f t="shared" si="31"/>
        <v>0</v>
      </c>
      <c r="H232">
        <v>144285.71428571429</v>
      </c>
      <c r="I232" s="261">
        <f t="shared" si="32"/>
        <v>0</v>
      </c>
      <c r="J232">
        <v>100000</v>
      </c>
      <c r="K232" s="234">
        <f t="shared" si="33"/>
        <v>0</v>
      </c>
      <c r="L232" s="143">
        <v>144285.71428571429</v>
      </c>
      <c r="M232" s="261">
        <f t="shared" si="34"/>
        <v>0</v>
      </c>
      <c r="N232" s="234">
        <v>100000</v>
      </c>
      <c r="O232" s="234">
        <f t="shared" si="35"/>
        <v>0</v>
      </c>
      <c r="P232" s="143">
        <v>144285.71428571429</v>
      </c>
      <c r="Q232" s="261">
        <f t="shared" si="36"/>
        <v>0</v>
      </c>
      <c r="R232" s="281">
        <v>100000</v>
      </c>
      <c r="S232" s="234">
        <f t="shared" si="37"/>
        <v>0</v>
      </c>
      <c r="T232" s="22">
        <v>144285.71428571429</v>
      </c>
      <c r="U232" s="261">
        <f t="shared" si="38"/>
        <v>0</v>
      </c>
      <c r="V232" s="281">
        <v>100000</v>
      </c>
      <c r="W232" s="234">
        <f t="shared" si="39"/>
        <v>0</v>
      </c>
      <c r="X232" s="22">
        <v>144285.71428571429</v>
      </c>
      <c r="Y232" s="261">
        <f t="shared" si="40"/>
        <v>0</v>
      </c>
    </row>
    <row r="233" spans="1:25">
      <c r="A233" s="2"/>
      <c r="B233" s="71">
        <v>229</v>
      </c>
      <c r="C233" s="48" t="s">
        <v>266</v>
      </c>
      <c r="D233" s="234">
        <v>100000</v>
      </c>
      <c r="E233" s="143">
        <v>144285.71428571429</v>
      </c>
      <c r="F233">
        <v>100000</v>
      </c>
      <c r="G233" s="234">
        <f t="shared" si="31"/>
        <v>0</v>
      </c>
      <c r="H233">
        <v>145714.28571428571</v>
      </c>
      <c r="I233" s="261">
        <f t="shared" si="32"/>
        <v>1428.5714285714203</v>
      </c>
      <c r="J233">
        <v>100000</v>
      </c>
      <c r="K233" s="234">
        <f t="shared" si="33"/>
        <v>0</v>
      </c>
      <c r="L233" s="143">
        <v>145714.28571428571</v>
      </c>
      <c r="M233" s="261">
        <f t="shared" si="34"/>
        <v>0</v>
      </c>
      <c r="N233" s="234">
        <v>100000</v>
      </c>
      <c r="O233" s="234">
        <f t="shared" si="35"/>
        <v>0</v>
      </c>
      <c r="P233" s="143">
        <v>145714.28571428571</v>
      </c>
      <c r="Q233" s="261">
        <f t="shared" si="36"/>
        <v>0</v>
      </c>
      <c r="R233" s="281">
        <v>100000</v>
      </c>
      <c r="S233" s="234">
        <f t="shared" si="37"/>
        <v>0</v>
      </c>
      <c r="T233" s="22">
        <v>145714.28571428571</v>
      </c>
      <c r="U233" s="261">
        <f t="shared" si="38"/>
        <v>0</v>
      </c>
      <c r="V233" s="281">
        <v>100000</v>
      </c>
      <c r="W233" s="234">
        <f t="shared" si="39"/>
        <v>0</v>
      </c>
      <c r="X233" s="22">
        <v>145714.28571428571</v>
      </c>
      <c r="Y233" s="261">
        <f t="shared" si="40"/>
        <v>0</v>
      </c>
    </row>
    <row r="234" spans="1:25">
      <c r="A234" s="2"/>
      <c r="B234" s="2">
        <v>230</v>
      </c>
      <c r="C234" s="48" t="s">
        <v>267</v>
      </c>
      <c r="D234" s="234">
        <v>100000</v>
      </c>
      <c r="E234" s="143">
        <v>144285.71428571429</v>
      </c>
      <c r="F234">
        <v>100000</v>
      </c>
      <c r="G234" s="234">
        <f t="shared" si="31"/>
        <v>0</v>
      </c>
      <c r="H234">
        <v>145714.28571428571</v>
      </c>
      <c r="I234" s="261">
        <f t="shared" si="32"/>
        <v>1428.5714285714203</v>
      </c>
      <c r="J234">
        <v>100000</v>
      </c>
      <c r="K234" s="234">
        <f t="shared" si="33"/>
        <v>0</v>
      </c>
      <c r="L234" s="143">
        <v>145714.28571428571</v>
      </c>
      <c r="M234" s="261">
        <f t="shared" si="34"/>
        <v>0</v>
      </c>
      <c r="N234" s="234">
        <v>100000</v>
      </c>
      <c r="O234" s="234">
        <f t="shared" si="35"/>
        <v>0</v>
      </c>
      <c r="P234" s="143">
        <v>145714.28571428571</v>
      </c>
      <c r="Q234" s="261">
        <f t="shared" si="36"/>
        <v>0</v>
      </c>
      <c r="R234" s="281">
        <v>100000</v>
      </c>
      <c r="S234" s="234">
        <f t="shared" si="37"/>
        <v>0</v>
      </c>
      <c r="T234" s="22">
        <v>145714.28571428571</v>
      </c>
      <c r="U234" s="261">
        <f t="shared" si="38"/>
        <v>0</v>
      </c>
      <c r="V234" s="281">
        <v>100000</v>
      </c>
      <c r="W234" s="234">
        <f t="shared" si="39"/>
        <v>0</v>
      </c>
      <c r="X234" s="22">
        <v>145714.28571428571</v>
      </c>
      <c r="Y234" s="261">
        <f t="shared" si="40"/>
        <v>0</v>
      </c>
    </row>
    <row r="235" spans="1:25">
      <c r="A235" s="2"/>
      <c r="B235" s="71">
        <v>231</v>
      </c>
      <c r="C235" s="48" t="s">
        <v>268</v>
      </c>
      <c r="D235" s="234">
        <v>95000</v>
      </c>
      <c r="E235" s="143">
        <v>135714.28571428571</v>
      </c>
      <c r="F235">
        <v>95000</v>
      </c>
      <c r="G235" s="234">
        <f t="shared" si="31"/>
        <v>0</v>
      </c>
      <c r="H235">
        <v>135714.28571428571</v>
      </c>
      <c r="I235" s="261">
        <f t="shared" si="32"/>
        <v>0</v>
      </c>
      <c r="J235">
        <v>95000</v>
      </c>
      <c r="K235" s="234">
        <f t="shared" si="33"/>
        <v>0</v>
      </c>
      <c r="L235" s="143">
        <v>135714.28571428571</v>
      </c>
      <c r="M235" s="261">
        <f t="shared" si="34"/>
        <v>0</v>
      </c>
      <c r="N235" s="234">
        <v>95000</v>
      </c>
      <c r="O235" s="234">
        <f t="shared" si="35"/>
        <v>0</v>
      </c>
      <c r="P235" s="143">
        <v>135714.28571428571</v>
      </c>
      <c r="Q235" s="261">
        <f t="shared" si="36"/>
        <v>0</v>
      </c>
      <c r="R235" s="281">
        <v>95000</v>
      </c>
      <c r="S235" s="234">
        <f t="shared" si="37"/>
        <v>0</v>
      </c>
      <c r="T235" s="22">
        <v>135714.28571428571</v>
      </c>
      <c r="U235" s="261">
        <f t="shared" si="38"/>
        <v>0</v>
      </c>
      <c r="V235" s="281">
        <v>95000</v>
      </c>
      <c r="W235" s="234">
        <f t="shared" si="39"/>
        <v>0</v>
      </c>
      <c r="X235" s="22">
        <v>135714.28571428571</v>
      </c>
      <c r="Y235" s="261">
        <f t="shared" si="40"/>
        <v>0</v>
      </c>
    </row>
    <row r="236" spans="1:25">
      <c r="A236" s="2"/>
      <c r="B236" s="71">
        <v>232</v>
      </c>
      <c r="C236" s="173" t="s">
        <v>670</v>
      </c>
      <c r="D236" s="234">
        <v>100000</v>
      </c>
      <c r="E236" s="143">
        <v>145000</v>
      </c>
      <c r="F236">
        <v>100000</v>
      </c>
      <c r="G236" s="234">
        <f t="shared" si="31"/>
        <v>0</v>
      </c>
      <c r="H236">
        <v>147142.85714285716</v>
      </c>
      <c r="I236" s="261">
        <f t="shared" si="32"/>
        <v>2142.8571428571595</v>
      </c>
      <c r="J236">
        <v>100000</v>
      </c>
      <c r="K236" s="234">
        <f t="shared" si="33"/>
        <v>0</v>
      </c>
      <c r="L236" s="143">
        <v>147142.85714285716</v>
      </c>
      <c r="M236" s="261">
        <f t="shared" si="34"/>
        <v>0</v>
      </c>
      <c r="N236" s="234">
        <v>100000</v>
      </c>
      <c r="O236" s="234">
        <f t="shared" si="35"/>
        <v>0</v>
      </c>
      <c r="P236" s="143">
        <v>148571.42857142858</v>
      </c>
      <c r="Q236" s="261">
        <f t="shared" si="36"/>
        <v>1428.5714285714203</v>
      </c>
      <c r="R236" s="281">
        <v>100000</v>
      </c>
      <c r="S236" s="234">
        <f t="shared" si="37"/>
        <v>0</v>
      </c>
      <c r="T236" s="22">
        <v>148571.42857142858</v>
      </c>
      <c r="U236" s="261">
        <f t="shared" si="38"/>
        <v>0</v>
      </c>
      <c r="V236" s="281">
        <v>100000</v>
      </c>
      <c r="W236" s="234">
        <f t="shared" si="39"/>
        <v>0</v>
      </c>
      <c r="X236" s="22">
        <v>148571.42857142858</v>
      </c>
      <c r="Y236" s="261">
        <f t="shared" si="40"/>
        <v>0</v>
      </c>
    </row>
    <row r="237" spans="1:25">
      <c r="A237" s="2"/>
      <c r="B237" s="2">
        <v>233</v>
      </c>
      <c r="C237" s="173" t="s">
        <v>671</v>
      </c>
      <c r="D237" s="234">
        <v>94000</v>
      </c>
      <c r="E237" s="143">
        <v>135714.28571428571</v>
      </c>
      <c r="F237">
        <v>94000</v>
      </c>
      <c r="G237" s="234">
        <f t="shared" si="31"/>
        <v>0</v>
      </c>
      <c r="H237">
        <v>138571.42857142858</v>
      </c>
      <c r="I237" s="261">
        <f t="shared" si="32"/>
        <v>2857.1428571428696</v>
      </c>
      <c r="J237">
        <v>94000</v>
      </c>
      <c r="K237" s="234">
        <f t="shared" si="33"/>
        <v>0</v>
      </c>
      <c r="L237" s="143">
        <v>138571.42857142858</v>
      </c>
      <c r="M237" s="261">
        <f t="shared" si="34"/>
        <v>0</v>
      </c>
      <c r="N237" s="234">
        <v>94000</v>
      </c>
      <c r="O237" s="234">
        <f t="shared" si="35"/>
        <v>0</v>
      </c>
      <c r="P237" s="143">
        <v>140000</v>
      </c>
      <c r="Q237" s="261">
        <f t="shared" si="36"/>
        <v>1428.5714285714203</v>
      </c>
      <c r="R237" s="281">
        <v>94000</v>
      </c>
      <c r="S237" s="234">
        <f t="shared" si="37"/>
        <v>0</v>
      </c>
      <c r="T237" s="22">
        <v>140000</v>
      </c>
      <c r="U237" s="261">
        <f t="shared" si="38"/>
        <v>0</v>
      </c>
      <c r="V237" s="281">
        <v>94000</v>
      </c>
      <c r="W237" s="234">
        <f t="shared" si="39"/>
        <v>0</v>
      </c>
      <c r="X237" s="22">
        <v>140000</v>
      </c>
      <c r="Y237" s="261">
        <f t="shared" si="40"/>
        <v>0</v>
      </c>
    </row>
    <row r="238" spans="1:25">
      <c r="A238" s="2"/>
      <c r="B238" s="71">
        <v>234</v>
      </c>
      <c r="C238" s="173" t="s">
        <v>672</v>
      </c>
      <c r="D238" s="234">
        <v>94250</v>
      </c>
      <c r="E238" s="143">
        <v>131785.71428571429</v>
      </c>
      <c r="F238">
        <v>94250</v>
      </c>
      <c r="G238" s="234">
        <f t="shared" si="31"/>
        <v>0</v>
      </c>
      <c r="H238">
        <v>131785.71428571429</v>
      </c>
      <c r="I238" s="261">
        <f t="shared" si="32"/>
        <v>0</v>
      </c>
      <c r="J238">
        <v>94250</v>
      </c>
      <c r="K238" s="234">
        <f t="shared" si="33"/>
        <v>0</v>
      </c>
      <c r="L238" s="143">
        <v>131785.71428571429</v>
      </c>
      <c r="M238" s="261">
        <f t="shared" si="34"/>
        <v>0</v>
      </c>
      <c r="N238" s="234">
        <v>94250</v>
      </c>
      <c r="O238" s="234">
        <f t="shared" si="35"/>
        <v>0</v>
      </c>
      <c r="P238" s="143">
        <v>131785.71428571429</v>
      </c>
      <c r="Q238" s="261">
        <f t="shared" si="36"/>
        <v>0</v>
      </c>
      <c r="R238" s="281">
        <v>94250</v>
      </c>
      <c r="S238" s="234">
        <f t="shared" si="37"/>
        <v>0</v>
      </c>
      <c r="T238" s="22">
        <v>133214.28571428571</v>
      </c>
      <c r="U238" s="261">
        <f t="shared" si="38"/>
        <v>1428.5714285714203</v>
      </c>
      <c r="V238" s="281">
        <v>94250</v>
      </c>
      <c r="W238" s="234">
        <f t="shared" si="39"/>
        <v>0</v>
      </c>
      <c r="X238" s="22">
        <v>133214.28571428571</v>
      </c>
      <c r="Y238" s="261">
        <f t="shared" si="40"/>
        <v>0</v>
      </c>
    </row>
    <row r="239" spans="1:25">
      <c r="A239" s="2"/>
      <c r="B239" s="71">
        <v>235</v>
      </c>
      <c r="C239" s="48" t="s">
        <v>271</v>
      </c>
      <c r="D239" s="234">
        <v>116750</v>
      </c>
      <c r="E239" s="143">
        <v>169642.85714285716</v>
      </c>
      <c r="F239">
        <v>116750</v>
      </c>
      <c r="G239" s="234">
        <f t="shared" si="31"/>
        <v>0</v>
      </c>
      <c r="H239">
        <v>169642.85714285716</v>
      </c>
      <c r="I239" s="261">
        <f t="shared" si="32"/>
        <v>0</v>
      </c>
      <c r="J239">
        <v>116750</v>
      </c>
      <c r="K239" s="234">
        <f t="shared" si="33"/>
        <v>0</v>
      </c>
      <c r="L239" s="143">
        <v>169642.85714285716</v>
      </c>
      <c r="M239" s="261">
        <f t="shared" si="34"/>
        <v>0</v>
      </c>
      <c r="N239" s="234">
        <v>116750</v>
      </c>
      <c r="O239" s="234">
        <f t="shared" si="35"/>
        <v>0</v>
      </c>
      <c r="P239" s="143">
        <v>169642.85714285716</v>
      </c>
      <c r="Q239" s="261">
        <f t="shared" si="36"/>
        <v>0</v>
      </c>
      <c r="R239" s="281">
        <v>116750</v>
      </c>
      <c r="S239" s="234">
        <f t="shared" si="37"/>
        <v>0</v>
      </c>
      <c r="T239" s="22">
        <v>169642.85714285716</v>
      </c>
      <c r="U239" s="261">
        <f t="shared" si="38"/>
        <v>0</v>
      </c>
      <c r="V239" s="281">
        <v>116750</v>
      </c>
      <c r="W239" s="234">
        <f t="shared" si="39"/>
        <v>0</v>
      </c>
      <c r="X239" s="22">
        <v>169642.85714285716</v>
      </c>
      <c r="Y239" s="261">
        <f t="shared" si="40"/>
        <v>0</v>
      </c>
    </row>
    <row r="240" spans="1:25">
      <c r="A240" s="2"/>
      <c r="B240" s="2">
        <v>236</v>
      </c>
      <c r="C240" s="173" t="s">
        <v>673</v>
      </c>
      <c r="D240" s="234">
        <v>111750</v>
      </c>
      <c r="E240" s="143">
        <v>162500</v>
      </c>
      <c r="F240">
        <v>111750</v>
      </c>
      <c r="G240" s="234">
        <f t="shared" si="31"/>
        <v>0</v>
      </c>
      <c r="H240">
        <v>162500</v>
      </c>
      <c r="I240" s="261">
        <f t="shared" si="32"/>
        <v>0</v>
      </c>
      <c r="J240">
        <v>111750</v>
      </c>
      <c r="K240" s="234">
        <f t="shared" si="33"/>
        <v>0</v>
      </c>
      <c r="L240" s="143">
        <v>162500</v>
      </c>
      <c r="M240" s="261">
        <f t="shared" si="34"/>
        <v>0</v>
      </c>
      <c r="N240" s="234">
        <v>111750</v>
      </c>
      <c r="O240" s="234">
        <f t="shared" si="35"/>
        <v>0</v>
      </c>
      <c r="P240" s="143">
        <v>162500</v>
      </c>
      <c r="Q240" s="261">
        <f t="shared" si="36"/>
        <v>0</v>
      </c>
      <c r="R240" s="281">
        <v>111750</v>
      </c>
      <c r="S240" s="234">
        <f t="shared" si="37"/>
        <v>0</v>
      </c>
      <c r="T240" s="22">
        <v>162500</v>
      </c>
      <c r="U240" s="261">
        <f t="shared" si="38"/>
        <v>0</v>
      </c>
      <c r="V240" s="281">
        <v>111750</v>
      </c>
      <c r="W240" s="234">
        <f t="shared" si="39"/>
        <v>0</v>
      </c>
      <c r="X240" s="22">
        <v>162500</v>
      </c>
      <c r="Y240" s="261">
        <f t="shared" si="40"/>
        <v>0</v>
      </c>
    </row>
    <row r="241" spans="1:25">
      <c r="A241" s="2"/>
      <c r="B241" s="71">
        <v>237</v>
      </c>
      <c r="C241" s="48" t="s">
        <v>273</v>
      </c>
      <c r="D241" s="234">
        <v>111750</v>
      </c>
      <c r="E241" s="143">
        <v>162500</v>
      </c>
      <c r="F241">
        <v>111750</v>
      </c>
      <c r="G241" s="234">
        <f t="shared" si="31"/>
        <v>0</v>
      </c>
      <c r="H241">
        <v>162500</v>
      </c>
      <c r="I241" s="261">
        <f t="shared" si="32"/>
        <v>0</v>
      </c>
      <c r="J241">
        <v>111750</v>
      </c>
      <c r="K241" s="234">
        <f t="shared" si="33"/>
        <v>0</v>
      </c>
      <c r="L241" s="143">
        <v>162500</v>
      </c>
      <c r="M241" s="261">
        <f t="shared" si="34"/>
        <v>0</v>
      </c>
      <c r="N241" s="234">
        <v>111750</v>
      </c>
      <c r="O241" s="234">
        <f t="shared" si="35"/>
        <v>0</v>
      </c>
      <c r="P241" s="143">
        <v>162500</v>
      </c>
      <c r="Q241" s="261">
        <f t="shared" si="36"/>
        <v>0</v>
      </c>
      <c r="R241" s="281">
        <v>111750</v>
      </c>
      <c r="S241" s="234">
        <f t="shared" si="37"/>
        <v>0</v>
      </c>
      <c r="T241" s="22">
        <v>162500</v>
      </c>
      <c r="U241" s="261">
        <f t="shared" si="38"/>
        <v>0</v>
      </c>
      <c r="V241" s="281">
        <v>111750</v>
      </c>
      <c r="W241" s="234">
        <f t="shared" si="39"/>
        <v>0</v>
      </c>
      <c r="X241" s="22">
        <v>162500</v>
      </c>
      <c r="Y241" s="261">
        <f t="shared" si="40"/>
        <v>0</v>
      </c>
    </row>
    <row r="242" spans="1:25">
      <c r="A242" s="2"/>
      <c r="B242" s="71">
        <v>238</v>
      </c>
      <c r="C242" s="173" t="s">
        <v>674</v>
      </c>
      <c r="D242" s="234">
        <v>111750</v>
      </c>
      <c r="E242" s="143">
        <v>162500</v>
      </c>
      <c r="F242">
        <v>111750</v>
      </c>
      <c r="G242" s="234">
        <f t="shared" si="31"/>
        <v>0</v>
      </c>
      <c r="H242">
        <v>162500</v>
      </c>
      <c r="I242" s="261">
        <f t="shared" si="32"/>
        <v>0</v>
      </c>
      <c r="J242">
        <v>111750</v>
      </c>
      <c r="K242" s="234">
        <f t="shared" si="33"/>
        <v>0</v>
      </c>
      <c r="L242" s="143">
        <v>162500</v>
      </c>
      <c r="M242" s="261">
        <f t="shared" si="34"/>
        <v>0</v>
      </c>
      <c r="N242" s="234">
        <v>111750</v>
      </c>
      <c r="O242" s="234">
        <f t="shared" si="35"/>
        <v>0</v>
      </c>
      <c r="P242" s="143">
        <v>162500</v>
      </c>
      <c r="Q242" s="261">
        <f t="shared" si="36"/>
        <v>0</v>
      </c>
      <c r="R242" s="281">
        <v>111750</v>
      </c>
      <c r="S242" s="234">
        <f t="shared" si="37"/>
        <v>0</v>
      </c>
      <c r="T242" s="22">
        <v>162500</v>
      </c>
      <c r="U242" s="261">
        <f t="shared" si="38"/>
        <v>0</v>
      </c>
      <c r="V242" s="281">
        <v>111750</v>
      </c>
      <c r="W242" s="234">
        <f t="shared" si="39"/>
        <v>0</v>
      </c>
      <c r="X242" s="22">
        <v>162500</v>
      </c>
      <c r="Y242" s="261">
        <f t="shared" si="40"/>
        <v>0</v>
      </c>
    </row>
    <row r="243" spans="1:25">
      <c r="A243" s="2"/>
      <c r="B243" s="2">
        <v>239</v>
      </c>
      <c r="C243" s="173" t="s">
        <v>675</v>
      </c>
      <c r="D243" s="234">
        <v>114750</v>
      </c>
      <c r="E243" s="143">
        <v>161785.71428571429</v>
      </c>
      <c r="F243">
        <v>114750</v>
      </c>
      <c r="G243" s="234">
        <f t="shared" si="31"/>
        <v>0</v>
      </c>
      <c r="H243">
        <v>161785.71428571429</v>
      </c>
      <c r="I243" s="261">
        <f t="shared" si="32"/>
        <v>0</v>
      </c>
      <c r="J243">
        <v>114750</v>
      </c>
      <c r="K243" s="234">
        <f t="shared" si="33"/>
        <v>0</v>
      </c>
      <c r="L243" s="143">
        <v>161785.71428571429</v>
      </c>
      <c r="M243" s="261">
        <f t="shared" si="34"/>
        <v>0</v>
      </c>
      <c r="N243" s="234">
        <v>114750</v>
      </c>
      <c r="O243" s="234">
        <f t="shared" si="35"/>
        <v>0</v>
      </c>
      <c r="P243" s="143">
        <v>161071.42857142858</v>
      </c>
      <c r="Q243" s="261">
        <f t="shared" si="36"/>
        <v>-714.28571428571013</v>
      </c>
      <c r="R243" s="281">
        <v>114750</v>
      </c>
      <c r="S243" s="234">
        <f t="shared" si="37"/>
        <v>0</v>
      </c>
      <c r="T243" s="22">
        <v>159642.85714285716</v>
      </c>
      <c r="U243" s="261">
        <f t="shared" si="38"/>
        <v>-1428.5714285714203</v>
      </c>
      <c r="V243" s="281">
        <v>114750</v>
      </c>
      <c r="W243" s="234">
        <f t="shared" si="39"/>
        <v>0</v>
      </c>
      <c r="X243" s="22">
        <v>159642.85714285716</v>
      </c>
      <c r="Y243" s="261">
        <f t="shared" si="40"/>
        <v>0</v>
      </c>
    </row>
    <row r="244" spans="1:25">
      <c r="A244" s="2"/>
      <c r="B244" s="71">
        <v>240</v>
      </c>
      <c r="C244" s="48" t="s">
        <v>274</v>
      </c>
      <c r="D244" s="234">
        <v>146750</v>
      </c>
      <c r="E244" s="143">
        <v>209642.85714285716</v>
      </c>
      <c r="F244">
        <v>146750</v>
      </c>
      <c r="G244" s="234">
        <f t="shared" si="31"/>
        <v>0</v>
      </c>
      <c r="H244">
        <v>209642.85714285716</v>
      </c>
      <c r="I244" s="261">
        <f t="shared" si="32"/>
        <v>0</v>
      </c>
      <c r="J244">
        <v>146750</v>
      </c>
      <c r="K244" s="234">
        <f t="shared" si="33"/>
        <v>0</v>
      </c>
      <c r="L244" s="143">
        <v>209642.85714285716</v>
      </c>
      <c r="M244" s="261">
        <f t="shared" si="34"/>
        <v>0</v>
      </c>
      <c r="N244" s="234">
        <v>146750</v>
      </c>
      <c r="O244" s="234">
        <f t="shared" si="35"/>
        <v>0</v>
      </c>
      <c r="P244" s="143">
        <v>209642.85714285716</v>
      </c>
      <c r="Q244" s="261">
        <f t="shared" si="36"/>
        <v>0</v>
      </c>
      <c r="R244" s="281">
        <v>146750</v>
      </c>
      <c r="S244" s="234">
        <f t="shared" si="37"/>
        <v>0</v>
      </c>
      <c r="T244" s="22">
        <v>209642.85714285716</v>
      </c>
      <c r="U244" s="261">
        <f t="shared" si="38"/>
        <v>0</v>
      </c>
      <c r="V244" s="281">
        <v>146750</v>
      </c>
      <c r="W244" s="234">
        <f t="shared" si="39"/>
        <v>0</v>
      </c>
      <c r="X244" s="22">
        <v>209642.85714285716</v>
      </c>
      <c r="Y244" s="261">
        <f t="shared" si="40"/>
        <v>0</v>
      </c>
    </row>
    <row r="245" spans="1:25">
      <c r="A245" s="2"/>
      <c r="B245" s="71">
        <v>241</v>
      </c>
      <c r="C245" s="48" t="s">
        <v>276</v>
      </c>
      <c r="D245" s="234">
        <v>118750</v>
      </c>
      <c r="E245" s="143">
        <v>172500</v>
      </c>
      <c r="F245">
        <v>118750</v>
      </c>
      <c r="G245" s="234">
        <f t="shared" si="31"/>
        <v>0</v>
      </c>
      <c r="H245">
        <v>172500</v>
      </c>
      <c r="I245" s="261">
        <f t="shared" si="32"/>
        <v>0</v>
      </c>
      <c r="J245">
        <v>118750</v>
      </c>
      <c r="K245" s="234">
        <f t="shared" si="33"/>
        <v>0</v>
      </c>
      <c r="L245" s="143">
        <v>172500</v>
      </c>
      <c r="M245" s="261">
        <f t="shared" si="34"/>
        <v>0</v>
      </c>
      <c r="N245" s="234">
        <v>118750</v>
      </c>
      <c r="O245" s="234">
        <f t="shared" si="35"/>
        <v>0</v>
      </c>
      <c r="P245" s="143">
        <v>172500</v>
      </c>
      <c r="Q245" s="261">
        <f t="shared" si="36"/>
        <v>0</v>
      </c>
      <c r="R245" s="281">
        <v>118750</v>
      </c>
      <c r="S245" s="234">
        <f t="shared" si="37"/>
        <v>0</v>
      </c>
      <c r="T245" s="22">
        <v>172500</v>
      </c>
      <c r="U245" s="261">
        <f t="shared" si="38"/>
        <v>0</v>
      </c>
      <c r="V245" s="281">
        <v>118750</v>
      </c>
      <c r="W245" s="234">
        <f t="shared" si="39"/>
        <v>0</v>
      </c>
      <c r="X245" s="22">
        <v>172500</v>
      </c>
      <c r="Y245" s="261">
        <f t="shared" si="40"/>
        <v>0</v>
      </c>
    </row>
    <row r="246" spans="1:25">
      <c r="A246" s="2"/>
      <c r="B246" s="2">
        <v>242</v>
      </c>
      <c r="C246" s="173" t="s">
        <v>676</v>
      </c>
      <c r="D246" s="234">
        <v>125250</v>
      </c>
      <c r="E246" s="143">
        <v>178928.57142857145</v>
      </c>
      <c r="F246">
        <v>125250</v>
      </c>
      <c r="G246" s="234">
        <f t="shared" si="31"/>
        <v>0</v>
      </c>
      <c r="H246">
        <v>178928.57142857145</v>
      </c>
      <c r="I246" s="261">
        <f t="shared" si="32"/>
        <v>0</v>
      </c>
      <c r="J246">
        <v>125250</v>
      </c>
      <c r="K246" s="234">
        <f t="shared" si="33"/>
        <v>0</v>
      </c>
      <c r="L246" s="143">
        <v>178928.57142857145</v>
      </c>
      <c r="M246" s="261">
        <f t="shared" si="34"/>
        <v>0</v>
      </c>
      <c r="N246" s="234">
        <v>125250</v>
      </c>
      <c r="O246" s="234">
        <f t="shared" si="35"/>
        <v>0</v>
      </c>
      <c r="P246" s="143">
        <v>178928.57142857145</v>
      </c>
      <c r="Q246" s="261">
        <f t="shared" si="36"/>
        <v>0</v>
      </c>
      <c r="R246" s="281">
        <v>125250</v>
      </c>
      <c r="S246" s="234">
        <f t="shared" si="37"/>
        <v>0</v>
      </c>
      <c r="T246" s="22">
        <v>178928.57142857145</v>
      </c>
      <c r="U246" s="261">
        <f t="shared" si="38"/>
        <v>0</v>
      </c>
      <c r="V246" s="281">
        <v>125250</v>
      </c>
      <c r="W246" s="234">
        <f t="shared" si="39"/>
        <v>0</v>
      </c>
      <c r="X246" s="22">
        <v>178928.57142857145</v>
      </c>
      <c r="Y246" s="261">
        <f t="shared" si="40"/>
        <v>0</v>
      </c>
    </row>
    <row r="247" spans="1:25">
      <c r="A247" s="2"/>
      <c r="B247" s="71">
        <v>243</v>
      </c>
      <c r="C247" s="48" t="s">
        <v>280</v>
      </c>
      <c r="D247" s="234">
        <v>94950</v>
      </c>
      <c r="E247" s="143">
        <v>135642.85714285716</v>
      </c>
      <c r="F247">
        <v>94950</v>
      </c>
      <c r="G247" s="234">
        <f t="shared" si="31"/>
        <v>0</v>
      </c>
      <c r="H247">
        <v>135642.85714285716</v>
      </c>
      <c r="I247" s="261">
        <f t="shared" si="32"/>
        <v>0</v>
      </c>
      <c r="J247">
        <v>94950</v>
      </c>
      <c r="K247" s="234">
        <f t="shared" si="33"/>
        <v>0</v>
      </c>
      <c r="L247" s="143">
        <v>135642.85714285716</v>
      </c>
      <c r="M247" s="261">
        <f t="shared" si="34"/>
        <v>0</v>
      </c>
      <c r="N247" s="234">
        <v>94950</v>
      </c>
      <c r="O247" s="234">
        <f t="shared" si="35"/>
        <v>0</v>
      </c>
      <c r="P247" s="143">
        <v>135642.85714285716</v>
      </c>
      <c r="Q247" s="261">
        <f t="shared" si="36"/>
        <v>0</v>
      </c>
      <c r="R247" s="281">
        <v>94950</v>
      </c>
      <c r="S247" s="234">
        <f t="shared" si="37"/>
        <v>0</v>
      </c>
      <c r="T247" s="22">
        <v>135642.85714285716</v>
      </c>
      <c r="U247" s="261">
        <f t="shared" si="38"/>
        <v>0</v>
      </c>
      <c r="V247" s="281">
        <v>94950</v>
      </c>
      <c r="W247" s="234">
        <f t="shared" si="39"/>
        <v>0</v>
      </c>
      <c r="X247" s="22">
        <v>138500</v>
      </c>
      <c r="Y247" s="261">
        <f t="shared" si="40"/>
        <v>2857.1428571428405</v>
      </c>
    </row>
    <row r="248" spans="1:25">
      <c r="A248" s="2"/>
      <c r="B248" s="71">
        <v>244</v>
      </c>
      <c r="C248" s="173" t="s">
        <v>677</v>
      </c>
      <c r="D248" s="234">
        <v>34950</v>
      </c>
      <c r="E248" s="143">
        <v>49928.571428571435</v>
      </c>
      <c r="F248">
        <v>34950</v>
      </c>
      <c r="G248" s="234">
        <f t="shared" si="31"/>
        <v>0</v>
      </c>
      <c r="H248">
        <v>49928.571428571435</v>
      </c>
      <c r="I248" s="261">
        <f t="shared" si="32"/>
        <v>0</v>
      </c>
      <c r="J248">
        <v>34950</v>
      </c>
      <c r="K248" s="234">
        <f t="shared" si="33"/>
        <v>0</v>
      </c>
      <c r="L248" s="143">
        <v>49928.571428571435</v>
      </c>
      <c r="M248" s="261">
        <f t="shared" si="34"/>
        <v>0</v>
      </c>
      <c r="N248" s="234">
        <v>34950</v>
      </c>
      <c r="O248" s="234">
        <f t="shared" si="35"/>
        <v>0</v>
      </c>
      <c r="P248" s="143">
        <v>49928.571428571435</v>
      </c>
      <c r="Q248" s="261">
        <f t="shared" si="36"/>
        <v>0</v>
      </c>
      <c r="R248" s="281">
        <v>34950</v>
      </c>
      <c r="S248" s="234">
        <f t="shared" si="37"/>
        <v>0</v>
      </c>
      <c r="T248" s="22">
        <v>51357.142857142862</v>
      </c>
      <c r="U248" s="261">
        <f t="shared" si="38"/>
        <v>1428.5714285714275</v>
      </c>
      <c r="V248" s="281">
        <v>34950</v>
      </c>
      <c r="W248" s="234">
        <f t="shared" si="39"/>
        <v>0</v>
      </c>
      <c r="X248" s="22">
        <v>52785.71428571429</v>
      </c>
      <c r="Y248" s="261">
        <f t="shared" si="40"/>
        <v>1428.5714285714275</v>
      </c>
    </row>
    <row r="249" spans="1:25">
      <c r="A249" s="2"/>
      <c r="B249" s="2">
        <v>245</v>
      </c>
      <c r="C249" s="48" t="s">
        <v>281</v>
      </c>
      <c r="D249" s="234">
        <v>61950</v>
      </c>
      <c r="E249" s="143">
        <v>88500</v>
      </c>
      <c r="F249">
        <v>61950</v>
      </c>
      <c r="G249" s="234">
        <f t="shared" si="31"/>
        <v>0</v>
      </c>
      <c r="H249">
        <v>88500</v>
      </c>
      <c r="I249" s="261">
        <f t="shared" si="32"/>
        <v>0</v>
      </c>
      <c r="J249">
        <v>61950</v>
      </c>
      <c r="K249" s="234">
        <f t="shared" si="33"/>
        <v>0</v>
      </c>
      <c r="L249" s="143">
        <v>88500</v>
      </c>
      <c r="M249" s="261">
        <f t="shared" si="34"/>
        <v>0</v>
      </c>
      <c r="N249" s="234">
        <v>61950</v>
      </c>
      <c r="O249" s="234">
        <f t="shared" si="35"/>
        <v>0</v>
      </c>
      <c r="P249" s="143">
        <v>88500</v>
      </c>
      <c r="Q249" s="261">
        <f t="shared" si="36"/>
        <v>0</v>
      </c>
      <c r="R249" s="281">
        <v>61950</v>
      </c>
      <c r="S249" s="234">
        <f t="shared" si="37"/>
        <v>0</v>
      </c>
      <c r="T249" s="22">
        <v>88500</v>
      </c>
      <c r="U249" s="261">
        <f t="shared" si="38"/>
        <v>0</v>
      </c>
      <c r="V249" s="281">
        <v>61950</v>
      </c>
      <c r="W249" s="234">
        <f t="shared" si="39"/>
        <v>0</v>
      </c>
      <c r="X249" s="22">
        <v>88500</v>
      </c>
      <c r="Y249" s="261">
        <f t="shared" si="40"/>
        <v>0</v>
      </c>
    </row>
    <row r="250" spans="1:25">
      <c r="A250" s="2"/>
      <c r="B250" s="71">
        <v>246</v>
      </c>
      <c r="C250" s="52" t="s">
        <v>279</v>
      </c>
      <c r="D250" s="234">
        <v>42550</v>
      </c>
      <c r="E250" s="143">
        <v>60785.71428571429</v>
      </c>
      <c r="F250">
        <v>42550</v>
      </c>
      <c r="G250" s="234">
        <f t="shared" si="31"/>
        <v>0</v>
      </c>
      <c r="H250">
        <v>60785.71428571429</v>
      </c>
      <c r="I250" s="261">
        <f t="shared" si="32"/>
        <v>0</v>
      </c>
      <c r="J250">
        <v>42550</v>
      </c>
      <c r="K250" s="234">
        <f t="shared" si="33"/>
        <v>0</v>
      </c>
      <c r="L250" s="143">
        <v>60785.71428571429</v>
      </c>
      <c r="M250" s="261">
        <f t="shared" si="34"/>
        <v>0</v>
      </c>
      <c r="N250" s="234">
        <v>42550</v>
      </c>
      <c r="O250" s="234">
        <f t="shared" si="35"/>
        <v>0</v>
      </c>
      <c r="P250" s="143">
        <v>60785.71428571429</v>
      </c>
      <c r="Q250" s="261">
        <f t="shared" si="36"/>
        <v>0</v>
      </c>
      <c r="R250" s="281">
        <v>42550</v>
      </c>
      <c r="S250" s="234">
        <f t="shared" si="37"/>
        <v>0</v>
      </c>
      <c r="T250" s="22">
        <v>60785.71428571429</v>
      </c>
      <c r="U250" s="261">
        <f t="shared" si="38"/>
        <v>0</v>
      </c>
      <c r="V250" s="281">
        <v>42550</v>
      </c>
      <c r="W250" s="234">
        <f t="shared" si="39"/>
        <v>0</v>
      </c>
      <c r="X250" s="22">
        <v>60785.71428571429</v>
      </c>
      <c r="Y250" s="261">
        <f t="shared" si="40"/>
        <v>0</v>
      </c>
    </row>
    <row r="251" spans="1:25">
      <c r="A251" s="2"/>
      <c r="B251" s="71">
        <v>247</v>
      </c>
      <c r="C251" s="52" t="s">
        <v>278</v>
      </c>
      <c r="D251" s="234">
        <v>82550</v>
      </c>
      <c r="E251" s="143">
        <v>117928.57142857143</v>
      </c>
      <c r="F251">
        <v>82550</v>
      </c>
      <c r="G251" s="234">
        <f t="shared" si="31"/>
        <v>0</v>
      </c>
      <c r="H251">
        <v>117928.57142857143</v>
      </c>
      <c r="I251" s="261">
        <f t="shared" si="32"/>
        <v>0</v>
      </c>
      <c r="J251">
        <v>82550</v>
      </c>
      <c r="K251" s="234">
        <f t="shared" si="33"/>
        <v>0</v>
      </c>
      <c r="L251" s="143">
        <v>117928.57142857143</v>
      </c>
      <c r="M251" s="261">
        <f t="shared" si="34"/>
        <v>0</v>
      </c>
      <c r="N251" s="234">
        <v>82550</v>
      </c>
      <c r="O251" s="234">
        <f t="shared" si="35"/>
        <v>0</v>
      </c>
      <c r="P251" s="143">
        <v>117928.57142857143</v>
      </c>
      <c r="Q251" s="261">
        <f t="shared" si="36"/>
        <v>0</v>
      </c>
      <c r="R251" s="281">
        <v>82550</v>
      </c>
      <c r="S251" s="234">
        <f t="shared" si="37"/>
        <v>0</v>
      </c>
      <c r="T251" s="22">
        <v>117928.57142857143</v>
      </c>
      <c r="U251" s="261">
        <f t="shared" si="38"/>
        <v>0</v>
      </c>
      <c r="V251" s="281">
        <v>82550</v>
      </c>
      <c r="W251" s="234">
        <f t="shared" si="39"/>
        <v>0</v>
      </c>
      <c r="X251" s="22">
        <v>117928.57142857143</v>
      </c>
      <c r="Y251" s="261">
        <f t="shared" si="40"/>
        <v>0</v>
      </c>
    </row>
    <row r="252" spans="1:25">
      <c r="A252" s="2"/>
      <c r="B252" s="2">
        <v>248</v>
      </c>
      <c r="C252" s="174" t="s">
        <v>678</v>
      </c>
      <c r="D252" s="234">
        <v>38550</v>
      </c>
      <c r="E252" s="143">
        <v>55071.428571428572</v>
      </c>
      <c r="F252">
        <v>38550</v>
      </c>
      <c r="G252" s="234">
        <f t="shared" si="31"/>
        <v>0</v>
      </c>
      <c r="H252">
        <v>56500</v>
      </c>
      <c r="I252" s="261">
        <f t="shared" si="32"/>
        <v>1428.5714285714275</v>
      </c>
      <c r="J252">
        <v>38550</v>
      </c>
      <c r="K252" s="234">
        <f t="shared" si="33"/>
        <v>0</v>
      </c>
      <c r="L252" s="143">
        <v>56500</v>
      </c>
      <c r="M252" s="261">
        <f t="shared" si="34"/>
        <v>0</v>
      </c>
      <c r="N252" s="234">
        <v>38550</v>
      </c>
      <c r="O252" s="234">
        <f t="shared" si="35"/>
        <v>0</v>
      </c>
      <c r="P252" s="143">
        <v>56500</v>
      </c>
      <c r="Q252" s="261">
        <f t="shared" si="36"/>
        <v>0</v>
      </c>
      <c r="R252" s="281">
        <v>38550</v>
      </c>
      <c r="S252" s="234">
        <f t="shared" si="37"/>
        <v>0</v>
      </c>
      <c r="T252" s="22">
        <v>56500</v>
      </c>
      <c r="U252" s="261">
        <f t="shared" si="38"/>
        <v>0</v>
      </c>
      <c r="V252" s="281">
        <v>38550</v>
      </c>
      <c r="W252" s="234">
        <f t="shared" si="39"/>
        <v>0</v>
      </c>
      <c r="X252" s="22">
        <v>55071.428571428572</v>
      </c>
      <c r="Y252" s="261">
        <f t="shared" si="40"/>
        <v>-1428.5714285714275</v>
      </c>
    </row>
    <row r="253" spans="1:25">
      <c r="A253" s="2"/>
      <c r="B253" s="71">
        <v>249</v>
      </c>
      <c r="C253" s="174" t="s">
        <v>679</v>
      </c>
      <c r="D253" s="234">
        <v>84100</v>
      </c>
      <c r="E253" s="143">
        <v>121571.42857142858</v>
      </c>
      <c r="F253">
        <v>84100</v>
      </c>
      <c r="G253" s="234">
        <f t="shared" si="31"/>
        <v>0</v>
      </c>
      <c r="H253">
        <v>123000.00000000001</v>
      </c>
      <c r="I253" s="261">
        <f t="shared" si="32"/>
        <v>1428.5714285714348</v>
      </c>
      <c r="J253">
        <v>84100</v>
      </c>
      <c r="K253" s="234">
        <f t="shared" si="33"/>
        <v>0</v>
      </c>
      <c r="L253" s="143">
        <v>123000.00000000001</v>
      </c>
      <c r="M253" s="261">
        <f t="shared" si="34"/>
        <v>0</v>
      </c>
      <c r="N253" s="234">
        <v>84100</v>
      </c>
      <c r="O253" s="234">
        <f t="shared" si="35"/>
        <v>0</v>
      </c>
      <c r="P253" s="143">
        <v>124428.57142857143</v>
      </c>
      <c r="Q253" s="261">
        <f t="shared" si="36"/>
        <v>1428.5714285714203</v>
      </c>
      <c r="R253" s="281">
        <v>84100</v>
      </c>
      <c r="S253" s="234">
        <f t="shared" si="37"/>
        <v>0</v>
      </c>
      <c r="T253" s="22">
        <v>124428.57142857143</v>
      </c>
      <c r="U253" s="261">
        <f t="shared" si="38"/>
        <v>0</v>
      </c>
      <c r="V253" s="281">
        <v>84100</v>
      </c>
      <c r="W253" s="234">
        <f t="shared" si="39"/>
        <v>0</v>
      </c>
      <c r="X253" s="22">
        <v>124428.57142857143</v>
      </c>
      <c r="Y253" s="261">
        <f t="shared" si="40"/>
        <v>0</v>
      </c>
    </row>
    <row r="254" spans="1:25">
      <c r="A254" s="2"/>
      <c r="B254" s="71">
        <v>250</v>
      </c>
      <c r="C254" s="174" t="s">
        <v>680</v>
      </c>
      <c r="D254" s="234">
        <v>91000</v>
      </c>
      <c r="E254" s="143">
        <v>131428.57142857145</v>
      </c>
      <c r="F254">
        <v>91000</v>
      </c>
      <c r="G254" s="234">
        <f t="shared" si="31"/>
        <v>0</v>
      </c>
      <c r="H254">
        <v>131428.57142857145</v>
      </c>
      <c r="I254" s="261">
        <f t="shared" si="32"/>
        <v>0</v>
      </c>
      <c r="J254">
        <v>91000</v>
      </c>
      <c r="K254" s="234">
        <f t="shared" si="33"/>
        <v>0</v>
      </c>
      <c r="L254" s="143">
        <v>131428.57142857145</v>
      </c>
      <c r="M254" s="261">
        <f t="shared" si="34"/>
        <v>0</v>
      </c>
      <c r="N254" s="234">
        <v>91000</v>
      </c>
      <c r="O254" s="234">
        <f t="shared" si="35"/>
        <v>0</v>
      </c>
      <c r="P254" s="143">
        <v>131428.57142857145</v>
      </c>
      <c r="Q254" s="261">
        <f t="shared" si="36"/>
        <v>0</v>
      </c>
      <c r="R254" s="281">
        <v>91000</v>
      </c>
      <c r="S254" s="234">
        <f t="shared" si="37"/>
        <v>0</v>
      </c>
      <c r="T254" s="22">
        <v>131428.57142857145</v>
      </c>
      <c r="U254" s="261">
        <f t="shared" si="38"/>
        <v>0</v>
      </c>
      <c r="V254" s="281">
        <v>91000</v>
      </c>
      <c r="W254" s="234">
        <f t="shared" si="39"/>
        <v>0</v>
      </c>
      <c r="X254" s="22">
        <v>131428.57142857145</v>
      </c>
      <c r="Y254" s="261">
        <f t="shared" si="40"/>
        <v>0</v>
      </c>
    </row>
    <row r="255" spans="1:25">
      <c r="A255" s="2"/>
      <c r="B255" s="2">
        <v>251</v>
      </c>
      <c r="C255" s="174" t="s">
        <v>681</v>
      </c>
      <c r="D255" s="234">
        <v>91000</v>
      </c>
      <c r="E255" s="143">
        <v>131428.57142857145</v>
      </c>
      <c r="F255">
        <v>91000</v>
      </c>
      <c r="G255" s="234">
        <f t="shared" si="31"/>
        <v>0</v>
      </c>
      <c r="H255">
        <v>131428.57142857145</v>
      </c>
      <c r="I255" s="261">
        <f t="shared" si="32"/>
        <v>0</v>
      </c>
      <c r="J255">
        <v>91000</v>
      </c>
      <c r="K255" s="234">
        <f t="shared" si="33"/>
        <v>0</v>
      </c>
      <c r="L255" s="143">
        <v>131428.57142857145</v>
      </c>
      <c r="M255" s="261">
        <f t="shared" si="34"/>
        <v>0</v>
      </c>
      <c r="N255" s="234">
        <v>91000</v>
      </c>
      <c r="O255" s="234">
        <f t="shared" si="35"/>
        <v>0</v>
      </c>
      <c r="P255" s="143">
        <v>131428.57142857145</v>
      </c>
      <c r="Q255" s="261">
        <f t="shared" si="36"/>
        <v>0</v>
      </c>
      <c r="R255" s="281">
        <v>91000</v>
      </c>
      <c r="S255" s="234">
        <f t="shared" si="37"/>
        <v>0</v>
      </c>
      <c r="T255" s="22">
        <v>131428.57142857145</v>
      </c>
      <c r="U255" s="261">
        <f t="shared" si="38"/>
        <v>0</v>
      </c>
      <c r="V255" s="281">
        <v>91000</v>
      </c>
      <c r="W255" s="234">
        <f t="shared" si="39"/>
        <v>0</v>
      </c>
      <c r="X255" s="22">
        <v>131428.57142857145</v>
      </c>
      <c r="Y255" s="261">
        <f t="shared" si="40"/>
        <v>0</v>
      </c>
    </row>
    <row r="256" spans="1:25">
      <c r="A256" s="2"/>
      <c r="B256" s="71">
        <v>252</v>
      </c>
      <c r="C256" s="52" t="s">
        <v>283</v>
      </c>
      <c r="D256" s="234">
        <v>91000</v>
      </c>
      <c r="E256" s="143">
        <v>131428.57142857145</v>
      </c>
      <c r="F256">
        <v>91000</v>
      </c>
      <c r="G256" s="234">
        <f t="shared" si="31"/>
        <v>0</v>
      </c>
      <c r="H256">
        <v>132857.14285714287</v>
      </c>
      <c r="I256" s="261">
        <f t="shared" si="32"/>
        <v>1428.5714285714203</v>
      </c>
      <c r="J256">
        <v>91000</v>
      </c>
      <c r="K256" s="234">
        <f t="shared" si="33"/>
        <v>0</v>
      </c>
      <c r="L256" s="143">
        <v>132857.14285714287</v>
      </c>
      <c r="M256" s="261">
        <f t="shared" si="34"/>
        <v>0</v>
      </c>
      <c r="N256" s="234">
        <v>91000</v>
      </c>
      <c r="O256" s="234">
        <f t="shared" si="35"/>
        <v>0</v>
      </c>
      <c r="P256" s="143">
        <v>132857.14285714287</v>
      </c>
      <c r="Q256" s="261">
        <f t="shared" si="36"/>
        <v>0</v>
      </c>
      <c r="R256" s="281">
        <v>91000</v>
      </c>
      <c r="S256" s="234">
        <f t="shared" si="37"/>
        <v>0</v>
      </c>
      <c r="T256" s="22">
        <v>132857.14285714287</v>
      </c>
      <c r="U256" s="261">
        <f t="shared" si="38"/>
        <v>0</v>
      </c>
      <c r="V256" s="281">
        <v>91000</v>
      </c>
      <c r="W256" s="234">
        <f t="shared" si="39"/>
        <v>0</v>
      </c>
      <c r="X256" s="22">
        <v>134285.71428571429</v>
      </c>
      <c r="Y256" s="261">
        <f t="shared" si="40"/>
        <v>1428.5714285714203</v>
      </c>
    </row>
    <row r="257" spans="1:25">
      <c r="A257" s="2"/>
      <c r="B257" s="71">
        <v>253</v>
      </c>
      <c r="C257" s="52" t="s">
        <v>284</v>
      </c>
      <c r="D257" s="234">
        <v>84100</v>
      </c>
      <c r="E257" s="143">
        <v>121571.42857142858</v>
      </c>
      <c r="F257">
        <v>84100</v>
      </c>
      <c r="G257" s="234">
        <f t="shared" si="31"/>
        <v>0</v>
      </c>
      <c r="H257">
        <v>123000.00000000001</v>
      </c>
      <c r="I257" s="261">
        <f t="shared" si="32"/>
        <v>1428.5714285714348</v>
      </c>
      <c r="J257">
        <v>84100</v>
      </c>
      <c r="K257" s="234">
        <f t="shared" si="33"/>
        <v>0</v>
      </c>
      <c r="L257" s="143">
        <v>123000.00000000001</v>
      </c>
      <c r="M257" s="261">
        <f t="shared" si="34"/>
        <v>0</v>
      </c>
      <c r="N257" s="234">
        <v>84100</v>
      </c>
      <c r="O257" s="234">
        <f t="shared" si="35"/>
        <v>0</v>
      </c>
      <c r="P257" s="143">
        <v>123000.00000000001</v>
      </c>
      <c r="Q257" s="261">
        <f t="shared" si="36"/>
        <v>0</v>
      </c>
      <c r="R257" s="281">
        <v>84100</v>
      </c>
      <c r="S257" s="234">
        <f t="shared" si="37"/>
        <v>0</v>
      </c>
      <c r="T257" s="22">
        <v>123000.00000000001</v>
      </c>
      <c r="U257" s="261">
        <f t="shared" si="38"/>
        <v>0</v>
      </c>
      <c r="V257" s="281">
        <v>84100</v>
      </c>
      <c r="W257" s="234">
        <f t="shared" si="39"/>
        <v>0</v>
      </c>
      <c r="X257" s="22">
        <v>124428.57142857143</v>
      </c>
      <c r="Y257" s="261">
        <f t="shared" si="40"/>
        <v>1428.5714285714203</v>
      </c>
    </row>
    <row r="258" spans="1:25">
      <c r="A258" s="2"/>
      <c r="B258" s="2">
        <v>254</v>
      </c>
      <c r="C258" s="52" t="s">
        <v>285</v>
      </c>
      <c r="D258" s="234">
        <v>91000</v>
      </c>
      <c r="E258" s="143">
        <v>131428.57142857145</v>
      </c>
      <c r="F258">
        <v>91000</v>
      </c>
      <c r="G258" s="234">
        <f t="shared" si="31"/>
        <v>0</v>
      </c>
      <c r="H258">
        <v>132857.14285714287</v>
      </c>
      <c r="I258" s="261">
        <f t="shared" si="32"/>
        <v>1428.5714285714203</v>
      </c>
      <c r="J258">
        <v>91000</v>
      </c>
      <c r="K258" s="234">
        <f t="shared" si="33"/>
        <v>0</v>
      </c>
      <c r="L258" s="143">
        <v>132857.14285714287</v>
      </c>
      <c r="M258" s="261">
        <f t="shared" si="34"/>
        <v>0</v>
      </c>
      <c r="N258" s="234">
        <v>91000</v>
      </c>
      <c r="O258" s="234">
        <f t="shared" si="35"/>
        <v>0</v>
      </c>
      <c r="P258" s="143">
        <v>132857.14285714287</v>
      </c>
      <c r="Q258" s="261">
        <f t="shared" si="36"/>
        <v>0</v>
      </c>
      <c r="R258" s="281">
        <v>91000</v>
      </c>
      <c r="S258" s="234">
        <f t="shared" si="37"/>
        <v>0</v>
      </c>
      <c r="T258" s="22">
        <v>132857.14285714287</v>
      </c>
      <c r="U258" s="261">
        <f t="shared" si="38"/>
        <v>0</v>
      </c>
      <c r="V258" s="281">
        <v>91000</v>
      </c>
      <c r="W258" s="234">
        <f t="shared" si="39"/>
        <v>0</v>
      </c>
      <c r="X258" s="22">
        <v>134285.71428571429</v>
      </c>
      <c r="Y258" s="261">
        <f t="shared" si="40"/>
        <v>1428.5714285714203</v>
      </c>
    </row>
    <row r="259" spans="1:25">
      <c r="A259" s="2"/>
      <c r="B259" s="71">
        <v>255</v>
      </c>
      <c r="C259" s="52" t="s">
        <v>286</v>
      </c>
      <c r="D259" s="234">
        <v>106600</v>
      </c>
      <c r="E259" s="143">
        <v>152285.71428571429</v>
      </c>
      <c r="F259">
        <v>106600</v>
      </c>
      <c r="G259" s="234">
        <f t="shared" si="31"/>
        <v>0</v>
      </c>
      <c r="H259">
        <v>152285.71428571429</v>
      </c>
      <c r="I259" s="261">
        <f t="shared" si="32"/>
        <v>0</v>
      </c>
      <c r="J259">
        <v>106600</v>
      </c>
      <c r="K259" s="234">
        <f t="shared" si="33"/>
        <v>0</v>
      </c>
      <c r="L259" s="143">
        <v>152285.71428571429</v>
      </c>
      <c r="M259" s="261">
        <f t="shared" si="34"/>
        <v>0</v>
      </c>
      <c r="N259" s="234">
        <v>106600</v>
      </c>
      <c r="O259" s="234">
        <f t="shared" si="35"/>
        <v>0</v>
      </c>
      <c r="P259" s="143">
        <v>152285.71428571429</v>
      </c>
      <c r="Q259" s="261">
        <f t="shared" si="36"/>
        <v>0</v>
      </c>
      <c r="R259" s="281">
        <v>106600</v>
      </c>
      <c r="S259" s="234">
        <f t="shared" si="37"/>
        <v>0</v>
      </c>
      <c r="T259" s="22">
        <v>152285.71428571429</v>
      </c>
      <c r="U259" s="261">
        <f t="shared" si="38"/>
        <v>0</v>
      </c>
      <c r="V259" s="281">
        <v>106600</v>
      </c>
      <c r="W259" s="234">
        <f t="shared" si="39"/>
        <v>0</v>
      </c>
      <c r="X259" s="22">
        <v>152285.71428571429</v>
      </c>
      <c r="Y259" s="261">
        <f t="shared" si="40"/>
        <v>0</v>
      </c>
    </row>
    <row r="260" spans="1:25">
      <c r="A260" s="2"/>
      <c r="B260" s="71">
        <v>256</v>
      </c>
      <c r="C260" s="52" t="s">
        <v>287</v>
      </c>
      <c r="D260" s="234">
        <v>89600</v>
      </c>
      <c r="E260" s="143">
        <v>129428.57142857143</v>
      </c>
      <c r="F260">
        <v>89600</v>
      </c>
      <c r="G260" s="234">
        <f t="shared" si="31"/>
        <v>0</v>
      </c>
      <c r="H260">
        <v>130857.14285714287</v>
      </c>
      <c r="I260" s="261">
        <f t="shared" si="32"/>
        <v>1428.5714285714348</v>
      </c>
      <c r="J260">
        <v>89600</v>
      </c>
      <c r="K260" s="234">
        <f t="shared" si="33"/>
        <v>0</v>
      </c>
      <c r="L260" s="143">
        <v>130857.14285714287</v>
      </c>
      <c r="M260" s="261">
        <f t="shared" si="34"/>
        <v>0</v>
      </c>
      <c r="N260" s="234">
        <v>89600</v>
      </c>
      <c r="O260" s="234">
        <f t="shared" si="35"/>
        <v>0</v>
      </c>
      <c r="P260" s="143">
        <v>130857.14285714287</v>
      </c>
      <c r="Q260" s="261">
        <f t="shared" si="36"/>
        <v>0</v>
      </c>
      <c r="R260" s="281">
        <v>89600</v>
      </c>
      <c r="S260" s="234">
        <f t="shared" si="37"/>
        <v>0</v>
      </c>
      <c r="T260" s="22">
        <v>130857.14285714287</v>
      </c>
      <c r="U260" s="261">
        <f t="shared" si="38"/>
        <v>0</v>
      </c>
      <c r="V260" s="281">
        <v>89600</v>
      </c>
      <c r="W260" s="234">
        <f t="shared" si="39"/>
        <v>0</v>
      </c>
      <c r="X260" s="22">
        <v>132285.71428571429</v>
      </c>
      <c r="Y260" s="261">
        <f t="shared" si="40"/>
        <v>1428.5714285714203</v>
      </c>
    </row>
    <row r="261" spans="1:25">
      <c r="A261" s="2"/>
      <c r="B261" s="2">
        <v>257</v>
      </c>
      <c r="C261" s="52" t="s">
        <v>288</v>
      </c>
      <c r="D261" s="234">
        <v>89600</v>
      </c>
      <c r="E261" s="143">
        <v>129428.57142857143</v>
      </c>
      <c r="F261">
        <v>89600</v>
      </c>
      <c r="G261" s="234">
        <f t="shared" si="31"/>
        <v>0</v>
      </c>
      <c r="H261">
        <v>130857.14285714287</v>
      </c>
      <c r="I261" s="261">
        <f t="shared" si="32"/>
        <v>1428.5714285714348</v>
      </c>
      <c r="J261">
        <v>89600</v>
      </c>
      <c r="K261" s="234">
        <f t="shared" si="33"/>
        <v>0</v>
      </c>
      <c r="L261" s="143">
        <v>130857.14285714287</v>
      </c>
      <c r="M261" s="261">
        <f t="shared" si="34"/>
        <v>0</v>
      </c>
      <c r="N261" s="234">
        <v>89600</v>
      </c>
      <c r="O261" s="234">
        <f t="shared" si="35"/>
        <v>0</v>
      </c>
      <c r="P261" s="143">
        <v>130857.14285714287</v>
      </c>
      <c r="Q261" s="261">
        <f t="shared" si="36"/>
        <v>0</v>
      </c>
      <c r="R261" s="281">
        <v>89600</v>
      </c>
      <c r="S261" s="234">
        <f t="shared" si="37"/>
        <v>0</v>
      </c>
      <c r="T261" s="22">
        <v>130857.14285714287</v>
      </c>
      <c r="U261" s="261">
        <f t="shared" si="38"/>
        <v>0</v>
      </c>
      <c r="V261" s="281">
        <v>89600</v>
      </c>
      <c r="W261" s="234">
        <f t="shared" si="39"/>
        <v>0</v>
      </c>
      <c r="X261" s="22">
        <v>132285.71428571429</v>
      </c>
      <c r="Y261" s="261">
        <f t="shared" si="40"/>
        <v>1428.5714285714203</v>
      </c>
    </row>
    <row r="262" spans="1:25">
      <c r="A262" s="2"/>
      <c r="B262" s="71">
        <v>258</v>
      </c>
      <c r="C262" s="52" t="s">
        <v>289</v>
      </c>
      <c r="D262" s="234">
        <v>88000</v>
      </c>
      <c r="E262" s="143">
        <v>127142.85714285714</v>
      </c>
      <c r="F262">
        <v>88000</v>
      </c>
      <c r="G262" s="234">
        <f t="shared" ref="G262:G325" si="41">F262-D262</f>
        <v>0</v>
      </c>
      <c r="H262">
        <v>128571.42857142858</v>
      </c>
      <c r="I262" s="261">
        <f t="shared" ref="I262:I325" si="42">H262-E262</f>
        <v>1428.5714285714348</v>
      </c>
      <c r="J262">
        <v>88000</v>
      </c>
      <c r="K262" s="234">
        <f t="shared" ref="K262:K325" si="43">J262-F262</f>
        <v>0</v>
      </c>
      <c r="L262" s="143">
        <v>128571.42857142858</v>
      </c>
      <c r="M262" s="261">
        <f t="shared" ref="M262:M325" si="44">L262-H262</f>
        <v>0</v>
      </c>
      <c r="N262" s="234">
        <v>88000</v>
      </c>
      <c r="O262" s="234">
        <f t="shared" ref="O262:O325" si="45">N262-J262</f>
        <v>0</v>
      </c>
      <c r="P262" s="143">
        <v>128571.42857142858</v>
      </c>
      <c r="Q262" s="261">
        <f t="shared" ref="Q262:Q325" si="46">P262-L262</f>
        <v>0</v>
      </c>
      <c r="R262" s="281">
        <v>88000</v>
      </c>
      <c r="S262" s="234">
        <f t="shared" ref="S262:S325" si="47">R262-N262</f>
        <v>0</v>
      </c>
      <c r="T262" s="22">
        <v>128571.42857142858</v>
      </c>
      <c r="U262" s="261">
        <f t="shared" ref="U262:U325" si="48">T262-P262</f>
        <v>0</v>
      </c>
      <c r="V262" s="281">
        <v>88000</v>
      </c>
      <c r="W262" s="234">
        <f t="shared" ref="W262:W325" si="49">V262-R262</f>
        <v>0</v>
      </c>
      <c r="X262" s="22">
        <v>130000.00000000001</v>
      </c>
      <c r="Y262" s="261">
        <f t="shared" ref="Y262:Y325" si="50">X262-T262</f>
        <v>1428.5714285714348</v>
      </c>
    </row>
    <row r="263" spans="1:25">
      <c r="A263" s="2"/>
      <c r="B263" s="71">
        <v>259</v>
      </c>
      <c r="C263" s="174" t="s">
        <v>682</v>
      </c>
      <c r="D263" s="234">
        <v>91000</v>
      </c>
      <c r="E263" s="143">
        <v>131428.57142857145</v>
      </c>
      <c r="F263">
        <v>91000</v>
      </c>
      <c r="G263" s="234">
        <f t="shared" si="41"/>
        <v>0</v>
      </c>
      <c r="H263">
        <v>132857.14285714287</v>
      </c>
      <c r="I263" s="261">
        <f t="shared" si="42"/>
        <v>1428.5714285714203</v>
      </c>
      <c r="J263">
        <v>91000</v>
      </c>
      <c r="K263" s="234">
        <f t="shared" si="43"/>
        <v>0</v>
      </c>
      <c r="L263" s="143">
        <v>132857.14285714287</v>
      </c>
      <c r="M263" s="261">
        <f t="shared" si="44"/>
        <v>0</v>
      </c>
      <c r="N263" s="234">
        <v>91000</v>
      </c>
      <c r="O263" s="234">
        <f t="shared" si="45"/>
        <v>0</v>
      </c>
      <c r="P263" s="143">
        <v>132857.14285714287</v>
      </c>
      <c r="Q263" s="261">
        <f t="shared" si="46"/>
        <v>0</v>
      </c>
      <c r="R263" s="281">
        <v>91000</v>
      </c>
      <c r="S263" s="234">
        <f t="shared" si="47"/>
        <v>0</v>
      </c>
      <c r="T263" s="22">
        <v>132857.14285714287</v>
      </c>
      <c r="U263" s="261">
        <f t="shared" si="48"/>
        <v>0</v>
      </c>
      <c r="V263" s="281">
        <v>91000</v>
      </c>
      <c r="W263" s="234">
        <f t="shared" si="49"/>
        <v>0</v>
      </c>
      <c r="X263" s="22">
        <v>134285.71428571429</v>
      </c>
      <c r="Y263" s="261">
        <f t="shared" si="50"/>
        <v>1428.5714285714203</v>
      </c>
    </row>
    <row r="264" spans="1:25">
      <c r="A264" s="2"/>
      <c r="B264" s="2">
        <v>260</v>
      </c>
      <c r="C264" s="52" t="s">
        <v>290</v>
      </c>
      <c r="D264" s="234">
        <v>83600</v>
      </c>
      <c r="E264" s="143">
        <v>122285.71428571429</v>
      </c>
      <c r="F264">
        <v>83600</v>
      </c>
      <c r="G264" s="234">
        <f t="shared" si="41"/>
        <v>0</v>
      </c>
      <c r="H264">
        <v>122285.71428571429</v>
      </c>
      <c r="I264" s="261">
        <f t="shared" si="42"/>
        <v>0</v>
      </c>
      <c r="J264">
        <v>83600</v>
      </c>
      <c r="K264" s="234">
        <f t="shared" si="43"/>
        <v>0</v>
      </c>
      <c r="L264" s="143">
        <v>122285.71428571429</v>
      </c>
      <c r="M264" s="261">
        <f t="shared" si="44"/>
        <v>0</v>
      </c>
      <c r="N264" s="234">
        <v>83600</v>
      </c>
      <c r="O264" s="234">
        <f t="shared" si="45"/>
        <v>0</v>
      </c>
      <c r="P264" s="143">
        <v>122285.71428571429</v>
      </c>
      <c r="Q264" s="261">
        <f t="shared" si="46"/>
        <v>0</v>
      </c>
      <c r="R264" s="281">
        <v>83600</v>
      </c>
      <c r="S264" s="234">
        <f t="shared" si="47"/>
        <v>0</v>
      </c>
      <c r="T264" s="22">
        <v>122285.71428571429</v>
      </c>
      <c r="U264" s="261">
        <f t="shared" si="48"/>
        <v>0</v>
      </c>
      <c r="V264" s="281">
        <v>83600</v>
      </c>
      <c r="W264" s="234">
        <f t="shared" si="49"/>
        <v>0</v>
      </c>
      <c r="X264" s="22">
        <v>122285.71428571429</v>
      </c>
      <c r="Y264" s="261">
        <f t="shared" si="50"/>
        <v>0</v>
      </c>
    </row>
    <row r="265" spans="1:25">
      <c r="A265" s="2"/>
      <c r="B265" s="71">
        <v>261</v>
      </c>
      <c r="C265" s="48" t="s">
        <v>291</v>
      </c>
      <c r="D265" s="234">
        <v>78700</v>
      </c>
      <c r="E265" s="143">
        <v>115285.71428571429</v>
      </c>
      <c r="F265">
        <v>78700</v>
      </c>
      <c r="G265" s="234">
        <f t="shared" si="41"/>
        <v>0</v>
      </c>
      <c r="H265">
        <v>116000.00000000001</v>
      </c>
      <c r="I265" s="261">
        <f t="shared" si="42"/>
        <v>714.28571428572468</v>
      </c>
      <c r="J265">
        <v>78700</v>
      </c>
      <c r="K265" s="234">
        <f t="shared" si="43"/>
        <v>0</v>
      </c>
      <c r="L265" s="143">
        <v>116000.00000000001</v>
      </c>
      <c r="M265" s="261">
        <f t="shared" si="44"/>
        <v>0</v>
      </c>
      <c r="N265" s="234">
        <v>78700</v>
      </c>
      <c r="O265" s="234">
        <f t="shared" si="45"/>
        <v>0</v>
      </c>
      <c r="P265" s="143">
        <v>116000.00000000001</v>
      </c>
      <c r="Q265" s="261">
        <f t="shared" si="46"/>
        <v>0</v>
      </c>
      <c r="R265" s="281">
        <v>78700</v>
      </c>
      <c r="S265" s="234">
        <f t="shared" si="47"/>
        <v>0</v>
      </c>
      <c r="T265" s="22">
        <v>116000.00000000001</v>
      </c>
      <c r="U265" s="261">
        <f t="shared" si="48"/>
        <v>0</v>
      </c>
      <c r="V265" s="281">
        <v>78700</v>
      </c>
      <c r="W265" s="234">
        <f t="shared" si="49"/>
        <v>0</v>
      </c>
      <c r="X265" s="22">
        <v>116000.00000000001</v>
      </c>
      <c r="Y265" s="261">
        <f t="shared" si="50"/>
        <v>0</v>
      </c>
    </row>
    <row r="266" spans="1:25">
      <c r="A266" s="2"/>
      <c r="B266" s="71">
        <v>262</v>
      </c>
      <c r="C266" s="48" t="s">
        <v>295</v>
      </c>
      <c r="D266" s="234">
        <v>85000</v>
      </c>
      <c r="E266" s="143">
        <v>124285.71428571429</v>
      </c>
      <c r="F266">
        <v>85000</v>
      </c>
      <c r="G266" s="234">
        <f t="shared" si="41"/>
        <v>0</v>
      </c>
      <c r="H266">
        <v>124285.71428571429</v>
      </c>
      <c r="I266" s="261">
        <f t="shared" si="42"/>
        <v>0</v>
      </c>
      <c r="J266">
        <v>85000</v>
      </c>
      <c r="K266" s="234">
        <f t="shared" si="43"/>
        <v>0</v>
      </c>
      <c r="L266" s="143">
        <v>124285.71428571429</v>
      </c>
      <c r="M266" s="261">
        <f t="shared" si="44"/>
        <v>0</v>
      </c>
      <c r="N266" s="234">
        <v>85000</v>
      </c>
      <c r="O266" s="234">
        <f t="shared" si="45"/>
        <v>0</v>
      </c>
      <c r="P266" s="143">
        <v>124285.71428571429</v>
      </c>
      <c r="Q266" s="261">
        <f t="shared" si="46"/>
        <v>0</v>
      </c>
      <c r="R266" s="281">
        <v>85000</v>
      </c>
      <c r="S266" s="234">
        <f t="shared" si="47"/>
        <v>0</v>
      </c>
      <c r="T266" s="22">
        <v>124285.71428571429</v>
      </c>
      <c r="U266" s="261">
        <f t="shared" si="48"/>
        <v>0</v>
      </c>
      <c r="V266" s="281">
        <v>85000</v>
      </c>
      <c r="W266" s="234">
        <f t="shared" si="49"/>
        <v>0</v>
      </c>
      <c r="X266" s="22">
        <v>124285.71428571429</v>
      </c>
      <c r="Y266" s="261">
        <f t="shared" si="50"/>
        <v>0</v>
      </c>
    </row>
    <row r="267" spans="1:25">
      <c r="A267" s="2"/>
      <c r="B267" s="2">
        <v>263</v>
      </c>
      <c r="C267" s="48" t="s">
        <v>294</v>
      </c>
      <c r="D267" s="234">
        <v>72700</v>
      </c>
      <c r="E267" s="143">
        <v>106714.28571428572</v>
      </c>
      <c r="F267">
        <v>72700</v>
      </c>
      <c r="G267" s="234">
        <f t="shared" si="41"/>
        <v>0</v>
      </c>
      <c r="H267">
        <v>107428.57142857143</v>
      </c>
      <c r="I267" s="261">
        <f t="shared" si="42"/>
        <v>714.28571428571013</v>
      </c>
      <c r="J267">
        <v>72700</v>
      </c>
      <c r="K267" s="234">
        <f t="shared" si="43"/>
        <v>0</v>
      </c>
      <c r="L267" s="143">
        <v>107428.57142857143</v>
      </c>
      <c r="M267" s="261">
        <f t="shared" si="44"/>
        <v>0</v>
      </c>
      <c r="N267" s="234">
        <v>72700</v>
      </c>
      <c r="O267" s="234">
        <f t="shared" si="45"/>
        <v>0</v>
      </c>
      <c r="P267" s="143">
        <v>107428.57142857143</v>
      </c>
      <c r="Q267" s="261">
        <f t="shared" si="46"/>
        <v>0</v>
      </c>
      <c r="R267" s="281">
        <v>72700</v>
      </c>
      <c r="S267" s="234">
        <f t="shared" si="47"/>
        <v>0</v>
      </c>
      <c r="T267" s="22">
        <v>107428.57142857143</v>
      </c>
      <c r="U267" s="261">
        <f t="shared" si="48"/>
        <v>0</v>
      </c>
      <c r="V267" s="281">
        <v>72700</v>
      </c>
      <c r="W267" s="234">
        <f t="shared" si="49"/>
        <v>0</v>
      </c>
      <c r="X267" s="22">
        <v>107428.57142857143</v>
      </c>
      <c r="Y267" s="261">
        <f t="shared" si="50"/>
        <v>0</v>
      </c>
    </row>
    <row r="268" spans="1:25">
      <c r="A268" s="2"/>
      <c r="B268" s="71">
        <v>264</v>
      </c>
      <c r="C268" s="173" t="s">
        <v>683</v>
      </c>
      <c r="D268" s="234">
        <v>78550</v>
      </c>
      <c r="E268" s="143">
        <v>115071.42857142858</v>
      </c>
      <c r="F268">
        <v>78550</v>
      </c>
      <c r="G268" s="234">
        <f t="shared" si="41"/>
        <v>0</v>
      </c>
      <c r="H268">
        <v>115071.42857142858</v>
      </c>
      <c r="I268" s="261">
        <f t="shared" si="42"/>
        <v>0</v>
      </c>
      <c r="J268">
        <v>78550</v>
      </c>
      <c r="K268" s="234">
        <f t="shared" si="43"/>
        <v>0</v>
      </c>
      <c r="L268" s="143">
        <v>115071.42857142858</v>
      </c>
      <c r="M268" s="261">
        <f t="shared" si="44"/>
        <v>0</v>
      </c>
      <c r="N268" s="234">
        <v>78550</v>
      </c>
      <c r="O268" s="234">
        <f t="shared" si="45"/>
        <v>0</v>
      </c>
      <c r="P268" s="143">
        <v>115071.42857142858</v>
      </c>
      <c r="Q268" s="261">
        <f t="shared" si="46"/>
        <v>0</v>
      </c>
      <c r="R268" s="281">
        <v>78550</v>
      </c>
      <c r="S268" s="234">
        <f t="shared" si="47"/>
        <v>0</v>
      </c>
      <c r="T268" s="22">
        <v>115071.42857142858</v>
      </c>
      <c r="U268" s="261">
        <f t="shared" si="48"/>
        <v>0</v>
      </c>
      <c r="V268" s="281">
        <v>78550</v>
      </c>
      <c r="W268" s="234">
        <f t="shared" si="49"/>
        <v>0</v>
      </c>
      <c r="X268" s="22">
        <v>115071.42857142858</v>
      </c>
      <c r="Y268" s="261">
        <f t="shared" si="50"/>
        <v>0</v>
      </c>
    </row>
    <row r="269" spans="1:25">
      <c r="A269" s="71" t="s">
        <v>842</v>
      </c>
      <c r="B269" s="71">
        <v>265</v>
      </c>
      <c r="C269" s="236" t="s">
        <v>684</v>
      </c>
      <c r="D269" s="234">
        <v>71000</v>
      </c>
      <c r="E269" s="143">
        <v>104285.71428571429</v>
      </c>
      <c r="F269">
        <v>71000</v>
      </c>
      <c r="G269" s="234">
        <f t="shared" si="41"/>
        <v>0</v>
      </c>
      <c r="H269">
        <v>105000</v>
      </c>
      <c r="I269" s="261">
        <f t="shared" si="42"/>
        <v>714.28571428571013</v>
      </c>
      <c r="J269">
        <v>71000</v>
      </c>
      <c r="K269" s="234">
        <f t="shared" si="43"/>
        <v>0</v>
      </c>
      <c r="L269" s="143">
        <v>105000</v>
      </c>
      <c r="M269" s="261">
        <f t="shared" si="44"/>
        <v>0</v>
      </c>
      <c r="N269" s="234">
        <v>71000</v>
      </c>
      <c r="O269" s="234">
        <f t="shared" si="45"/>
        <v>0</v>
      </c>
      <c r="P269" s="143">
        <v>105000</v>
      </c>
      <c r="Q269" s="261">
        <f t="shared" si="46"/>
        <v>0</v>
      </c>
      <c r="R269" s="281">
        <v>71000</v>
      </c>
      <c r="S269" s="234">
        <f t="shared" si="47"/>
        <v>0</v>
      </c>
      <c r="T269" s="22">
        <v>105000</v>
      </c>
      <c r="U269" s="261">
        <f t="shared" si="48"/>
        <v>0</v>
      </c>
      <c r="V269" s="281">
        <v>71000</v>
      </c>
      <c r="W269" s="234">
        <f t="shared" si="49"/>
        <v>0</v>
      </c>
      <c r="X269" s="22">
        <v>105000</v>
      </c>
      <c r="Y269" s="261">
        <f t="shared" si="50"/>
        <v>0</v>
      </c>
    </row>
    <row r="270" spans="1:25">
      <c r="A270" s="2"/>
      <c r="B270" s="2">
        <v>266</v>
      </c>
      <c r="C270" s="173" t="s">
        <v>685</v>
      </c>
      <c r="D270" s="234">
        <v>78550</v>
      </c>
      <c r="E270" s="143">
        <v>115071.42857142858</v>
      </c>
      <c r="F270">
        <v>78550</v>
      </c>
      <c r="G270" s="234">
        <f t="shared" si="41"/>
        <v>0</v>
      </c>
      <c r="H270">
        <v>115071.42857142858</v>
      </c>
      <c r="I270" s="261">
        <f t="shared" si="42"/>
        <v>0</v>
      </c>
      <c r="J270">
        <v>78550</v>
      </c>
      <c r="K270" s="234">
        <f t="shared" si="43"/>
        <v>0</v>
      </c>
      <c r="L270" s="143">
        <v>115071.42857142858</v>
      </c>
      <c r="M270" s="261">
        <f t="shared" si="44"/>
        <v>0</v>
      </c>
      <c r="N270" s="234">
        <v>78550</v>
      </c>
      <c r="O270" s="234">
        <f t="shared" si="45"/>
        <v>0</v>
      </c>
      <c r="P270" s="143">
        <v>115071.42857142858</v>
      </c>
      <c r="Q270" s="261">
        <f t="shared" si="46"/>
        <v>0</v>
      </c>
      <c r="R270" s="281">
        <v>78550</v>
      </c>
      <c r="S270" s="234">
        <f t="shared" si="47"/>
        <v>0</v>
      </c>
      <c r="T270" s="22">
        <v>115071.42857142858</v>
      </c>
      <c r="U270" s="261">
        <f t="shared" si="48"/>
        <v>0</v>
      </c>
      <c r="V270" s="281">
        <v>78550</v>
      </c>
      <c r="W270" s="234">
        <f t="shared" si="49"/>
        <v>0</v>
      </c>
      <c r="X270" s="22">
        <v>115071.42857142858</v>
      </c>
      <c r="Y270" s="261">
        <f t="shared" si="50"/>
        <v>0</v>
      </c>
    </row>
    <row r="271" spans="1:25">
      <c r="A271" s="2"/>
      <c r="B271" s="71">
        <v>267</v>
      </c>
      <c r="C271" s="48" t="s">
        <v>297</v>
      </c>
      <c r="D271" s="234">
        <v>72000</v>
      </c>
      <c r="E271" s="143">
        <v>105714.28571428572</v>
      </c>
      <c r="F271">
        <v>72000</v>
      </c>
      <c r="G271" s="234">
        <f t="shared" si="41"/>
        <v>0</v>
      </c>
      <c r="H271">
        <v>106428.57142857143</v>
      </c>
      <c r="I271" s="261">
        <f t="shared" si="42"/>
        <v>714.28571428571013</v>
      </c>
      <c r="J271">
        <v>72000</v>
      </c>
      <c r="K271" s="234">
        <f t="shared" si="43"/>
        <v>0</v>
      </c>
      <c r="L271" s="143">
        <v>106428.57142857143</v>
      </c>
      <c r="M271" s="261">
        <f t="shared" si="44"/>
        <v>0</v>
      </c>
      <c r="N271" s="234">
        <v>72000</v>
      </c>
      <c r="O271" s="234">
        <f t="shared" si="45"/>
        <v>0</v>
      </c>
      <c r="P271" s="143">
        <v>106428.57142857143</v>
      </c>
      <c r="Q271" s="261">
        <f t="shared" si="46"/>
        <v>0</v>
      </c>
      <c r="R271" s="281">
        <v>72000</v>
      </c>
      <c r="S271" s="234">
        <f t="shared" si="47"/>
        <v>0</v>
      </c>
      <c r="T271" s="22">
        <v>106428.57142857143</v>
      </c>
      <c r="U271" s="261">
        <f t="shared" si="48"/>
        <v>0</v>
      </c>
      <c r="V271" s="281">
        <v>72000</v>
      </c>
      <c r="W271" s="234">
        <f t="shared" si="49"/>
        <v>0</v>
      </c>
      <c r="X271" s="22">
        <v>106428.57142857143</v>
      </c>
      <c r="Y271" s="261">
        <f t="shared" si="50"/>
        <v>0</v>
      </c>
    </row>
    <row r="272" spans="1:25">
      <c r="A272" s="2"/>
      <c r="B272" s="71">
        <v>268</v>
      </c>
      <c r="C272" s="48" t="s">
        <v>299</v>
      </c>
      <c r="D272" s="234">
        <v>73050</v>
      </c>
      <c r="E272" s="143">
        <v>107214.28571428572</v>
      </c>
      <c r="F272">
        <v>73050</v>
      </c>
      <c r="G272" s="234">
        <f t="shared" si="41"/>
        <v>0</v>
      </c>
      <c r="H272">
        <v>107214.28571428572</v>
      </c>
      <c r="I272" s="261">
        <f t="shared" si="42"/>
        <v>0</v>
      </c>
      <c r="J272">
        <v>73050</v>
      </c>
      <c r="K272" s="234">
        <f t="shared" si="43"/>
        <v>0</v>
      </c>
      <c r="L272" s="143">
        <v>107214.28571428572</v>
      </c>
      <c r="M272" s="261">
        <f t="shared" si="44"/>
        <v>0</v>
      </c>
      <c r="N272" s="234">
        <v>73050</v>
      </c>
      <c r="O272" s="234">
        <f t="shared" si="45"/>
        <v>0</v>
      </c>
      <c r="P272" s="143">
        <v>107214.28571428572</v>
      </c>
      <c r="Q272" s="261">
        <f t="shared" si="46"/>
        <v>0</v>
      </c>
      <c r="R272" s="281">
        <v>73050</v>
      </c>
      <c r="S272" s="234">
        <f t="shared" si="47"/>
        <v>0</v>
      </c>
      <c r="T272" s="22">
        <v>107214.28571428572</v>
      </c>
      <c r="U272" s="261">
        <f t="shared" si="48"/>
        <v>0</v>
      </c>
      <c r="V272" s="281">
        <v>73050</v>
      </c>
      <c r="W272" s="234">
        <f t="shared" si="49"/>
        <v>0</v>
      </c>
      <c r="X272" s="22">
        <v>107214.28571428572</v>
      </c>
      <c r="Y272" s="261">
        <f t="shared" si="50"/>
        <v>0</v>
      </c>
    </row>
    <row r="273" spans="1:25">
      <c r="A273" s="2"/>
      <c r="B273" s="2">
        <v>269</v>
      </c>
      <c r="C273" s="48" t="s">
        <v>301</v>
      </c>
      <c r="D273" s="234">
        <v>84000</v>
      </c>
      <c r="E273" s="143">
        <v>122857.14285714287</v>
      </c>
      <c r="F273">
        <v>84000</v>
      </c>
      <c r="G273" s="234">
        <f t="shared" si="41"/>
        <v>0</v>
      </c>
      <c r="H273">
        <v>123571.42857142858</v>
      </c>
      <c r="I273" s="261">
        <f t="shared" si="42"/>
        <v>714.28571428571013</v>
      </c>
      <c r="J273">
        <v>84000</v>
      </c>
      <c r="K273" s="234">
        <f t="shared" si="43"/>
        <v>0</v>
      </c>
      <c r="L273" s="143">
        <v>123571.42857142858</v>
      </c>
      <c r="M273" s="261">
        <f t="shared" si="44"/>
        <v>0</v>
      </c>
      <c r="N273" s="234">
        <v>84000</v>
      </c>
      <c r="O273" s="234">
        <f t="shared" si="45"/>
        <v>0</v>
      </c>
      <c r="P273" s="143">
        <v>123571.42857142858</v>
      </c>
      <c r="Q273" s="261">
        <f t="shared" si="46"/>
        <v>0</v>
      </c>
      <c r="R273" s="281">
        <v>84000</v>
      </c>
      <c r="S273" s="234">
        <f t="shared" si="47"/>
        <v>0</v>
      </c>
      <c r="T273" s="22">
        <v>123571.42857142858</v>
      </c>
      <c r="U273" s="261">
        <f t="shared" si="48"/>
        <v>0</v>
      </c>
      <c r="V273" s="281">
        <v>84000</v>
      </c>
      <c r="W273" s="234">
        <f t="shared" si="49"/>
        <v>0</v>
      </c>
      <c r="X273" s="22">
        <v>123571.42857142858</v>
      </c>
      <c r="Y273" s="261">
        <f t="shared" si="50"/>
        <v>0</v>
      </c>
    </row>
    <row r="274" spans="1:25">
      <c r="A274" s="2"/>
      <c r="B274" s="71">
        <v>270</v>
      </c>
      <c r="C274" s="173" t="s">
        <v>686</v>
      </c>
      <c r="D274" s="234">
        <v>80000</v>
      </c>
      <c r="E274" s="143">
        <v>117142.85714285714</v>
      </c>
      <c r="F274">
        <v>80000</v>
      </c>
      <c r="G274" s="234">
        <f t="shared" si="41"/>
        <v>0</v>
      </c>
      <c r="H274">
        <v>117142.85714285714</v>
      </c>
      <c r="I274" s="261">
        <f t="shared" si="42"/>
        <v>0</v>
      </c>
      <c r="J274">
        <v>80000</v>
      </c>
      <c r="K274" s="234">
        <f t="shared" si="43"/>
        <v>0</v>
      </c>
      <c r="L274" s="143">
        <v>117142.85714285714</v>
      </c>
      <c r="M274" s="261">
        <f t="shared" si="44"/>
        <v>0</v>
      </c>
      <c r="N274" s="234">
        <v>80000</v>
      </c>
      <c r="O274" s="234">
        <f t="shared" si="45"/>
        <v>0</v>
      </c>
      <c r="P274" s="143">
        <v>117142.85714285714</v>
      </c>
      <c r="Q274" s="261">
        <f t="shared" si="46"/>
        <v>0</v>
      </c>
      <c r="R274" s="281">
        <v>80000</v>
      </c>
      <c r="S274" s="234">
        <f t="shared" si="47"/>
        <v>0</v>
      </c>
      <c r="T274" s="22">
        <v>117142.85714285714</v>
      </c>
      <c r="U274" s="261">
        <f t="shared" si="48"/>
        <v>0</v>
      </c>
      <c r="V274" s="281">
        <v>80000</v>
      </c>
      <c r="W274" s="234">
        <f t="shared" si="49"/>
        <v>0</v>
      </c>
      <c r="X274" s="22">
        <v>117142.85714285714</v>
      </c>
      <c r="Y274" s="261">
        <f t="shared" si="50"/>
        <v>0</v>
      </c>
    </row>
    <row r="275" spans="1:25">
      <c r="A275" s="2"/>
      <c r="B275" s="71">
        <v>271</v>
      </c>
      <c r="C275" s="48" t="s">
        <v>302</v>
      </c>
      <c r="D275" s="234">
        <v>77000</v>
      </c>
      <c r="E275" s="143">
        <v>112857.14285714287</v>
      </c>
      <c r="F275">
        <v>77000</v>
      </c>
      <c r="G275" s="234">
        <f t="shared" si="41"/>
        <v>0</v>
      </c>
      <c r="H275">
        <v>113571.42857142858</v>
      </c>
      <c r="I275" s="261">
        <f t="shared" si="42"/>
        <v>714.28571428571013</v>
      </c>
      <c r="J275">
        <v>77000</v>
      </c>
      <c r="K275" s="234">
        <f t="shared" si="43"/>
        <v>0</v>
      </c>
      <c r="L275" s="143">
        <v>113571.42857142858</v>
      </c>
      <c r="M275" s="261">
        <f t="shared" si="44"/>
        <v>0</v>
      </c>
      <c r="N275" s="234">
        <v>77000</v>
      </c>
      <c r="O275" s="234">
        <f t="shared" si="45"/>
        <v>0</v>
      </c>
      <c r="P275" s="143">
        <v>113571.42857142858</v>
      </c>
      <c r="Q275" s="261">
        <f t="shared" si="46"/>
        <v>0</v>
      </c>
      <c r="R275" s="283">
        <v>77000</v>
      </c>
      <c r="S275" s="234">
        <f t="shared" si="47"/>
        <v>0</v>
      </c>
      <c r="T275" s="22">
        <v>113571.42857142858</v>
      </c>
      <c r="U275" s="261">
        <f t="shared" si="48"/>
        <v>0</v>
      </c>
      <c r="V275" s="283">
        <v>77000</v>
      </c>
      <c r="W275" s="234">
        <f t="shared" si="49"/>
        <v>0</v>
      </c>
      <c r="X275" s="22">
        <v>113571.42857142858</v>
      </c>
      <c r="Y275" s="261">
        <f t="shared" si="50"/>
        <v>0</v>
      </c>
    </row>
    <row r="276" spans="1:25">
      <c r="A276" s="2"/>
      <c r="B276" s="2">
        <v>272</v>
      </c>
      <c r="C276" s="173" t="s">
        <v>687</v>
      </c>
      <c r="D276" s="234">
        <v>82000</v>
      </c>
      <c r="E276" s="143">
        <v>120000.00000000001</v>
      </c>
      <c r="F276">
        <v>82000</v>
      </c>
      <c r="G276" s="234">
        <f t="shared" si="41"/>
        <v>0</v>
      </c>
      <c r="H276">
        <v>119285.71428571429</v>
      </c>
      <c r="I276" s="261">
        <f t="shared" si="42"/>
        <v>-714.28571428572468</v>
      </c>
      <c r="J276">
        <v>82000</v>
      </c>
      <c r="K276" s="234">
        <f t="shared" si="43"/>
        <v>0</v>
      </c>
      <c r="L276" s="143">
        <v>119285.71428571429</v>
      </c>
      <c r="M276" s="261">
        <f t="shared" si="44"/>
        <v>0</v>
      </c>
      <c r="N276" s="234">
        <v>82000</v>
      </c>
      <c r="O276" s="234">
        <f t="shared" si="45"/>
        <v>0</v>
      </c>
      <c r="P276" s="143">
        <v>118571.42857142858</v>
      </c>
      <c r="Q276" s="261">
        <f t="shared" si="46"/>
        <v>-714.28571428571013</v>
      </c>
      <c r="R276" s="281">
        <v>82000</v>
      </c>
      <c r="S276" s="234">
        <f t="shared" si="47"/>
        <v>0</v>
      </c>
      <c r="T276" s="22">
        <v>118571.42857142858</v>
      </c>
      <c r="U276" s="261">
        <f t="shared" si="48"/>
        <v>0</v>
      </c>
      <c r="V276" s="281">
        <v>82000</v>
      </c>
      <c r="W276" s="234">
        <f t="shared" si="49"/>
        <v>0</v>
      </c>
      <c r="X276" s="22">
        <v>118571.42857142858</v>
      </c>
      <c r="Y276" s="261">
        <f t="shared" si="50"/>
        <v>0</v>
      </c>
    </row>
    <row r="277" spans="1:25">
      <c r="A277" s="2"/>
      <c r="B277" s="71">
        <v>273</v>
      </c>
      <c r="C277" s="173" t="s">
        <v>688</v>
      </c>
      <c r="D277" s="234">
        <v>72000</v>
      </c>
      <c r="E277" s="143">
        <v>105714.28571428572</v>
      </c>
      <c r="F277">
        <v>72000</v>
      </c>
      <c r="G277" s="234">
        <f t="shared" si="41"/>
        <v>0</v>
      </c>
      <c r="H277">
        <v>108571.42857142858</v>
      </c>
      <c r="I277" s="261">
        <f t="shared" si="42"/>
        <v>2857.1428571428551</v>
      </c>
      <c r="J277">
        <v>72000</v>
      </c>
      <c r="K277" s="234">
        <f t="shared" si="43"/>
        <v>0</v>
      </c>
      <c r="L277" s="143">
        <v>108571.42857142858</v>
      </c>
      <c r="M277" s="261">
        <f t="shared" si="44"/>
        <v>0</v>
      </c>
      <c r="N277" s="234">
        <v>72000</v>
      </c>
      <c r="O277" s="234">
        <f t="shared" si="45"/>
        <v>0</v>
      </c>
      <c r="P277" s="143">
        <v>108571.42857142858</v>
      </c>
      <c r="Q277" s="261">
        <f t="shared" si="46"/>
        <v>0</v>
      </c>
      <c r="R277" s="281">
        <v>72000</v>
      </c>
      <c r="S277" s="234">
        <f t="shared" si="47"/>
        <v>0</v>
      </c>
      <c r="T277" s="22">
        <v>108571.42857142858</v>
      </c>
      <c r="U277" s="261">
        <f t="shared" si="48"/>
        <v>0</v>
      </c>
      <c r="V277" s="281">
        <v>72000</v>
      </c>
      <c r="W277" s="234">
        <f t="shared" si="49"/>
        <v>0</v>
      </c>
      <c r="X277" s="22">
        <v>108571.42857142858</v>
      </c>
      <c r="Y277" s="261">
        <f t="shared" si="50"/>
        <v>0</v>
      </c>
    </row>
    <row r="278" spans="1:25">
      <c r="A278" s="2"/>
      <c r="B278" s="71">
        <v>274</v>
      </c>
      <c r="C278" s="48" t="s">
        <v>303</v>
      </c>
      <c r="D278" s="234">
        <v>80000</v>
      </c>
      <c r="E278" s="143">
        <v>117142.85714285714</v>
      </c>
      <c r="F278">
        <v>80000</v>
      </c>
      <c r="G278" s="234">
        <f t="shared" si="41"/>
        <v>0</v>
      </c>
      <c r="H278">
        <v>117857.14285714287</v>
      </c>
      <c r="I278" s="261">
        <f t="shared" si="42"/>
        <v>714.28571428572468</v>
      </c>
      <c r="J278">
        <v>80000</v>
      </c>
      <c r="K278" s="234">
        <f t="shared" si="43"/>
        <v>0</v>
      </c>
      <c r="L278" s="143">
        <v>117857.14285714287</v>
      </c>
      <c r="M278" s="261">
        <f t="shared" si="44"/>
        <v>0</v>
      </c>
      <c r="N278" s="234">
        <v>80000</v>
      </c>
      <c r="O278" s="234">
        <f t="shared" si="45"/>
        <v>0</v>
      </c>
      <c r="P278" s="143">
        <v>117857.14285714287</v>
      </c>
      <c r="Q278" s="261">
        <f t="shared" si="46"/>
        <v>0</v>
      </c>
      <c r="R278" s="281">
        <v>80000</v>
      </c>
      <c r="S278" s="234">
        <f t="shared" si="47"/>
        <v>0</v>
      </c>
      <c r="T278" s="22">
        <v>117857.14285714287</v>
      </c>
      <c r="U278" s="261">
        <f t="shared" si="48"/>
        <v>0</v>
      </c>
      <c r="V278" s="281">
        <v>80000</v>
      </c>
      <c r="W278" s="234">
        <f t="shared" si="49"/>
        <v>0</v>
      </c>
      <c r="X278" s="22">
        <v>117857.14285714287</v>
      </c>
      <c r="Y278" s="261">
        <f t="shared" si="50"/>
        <v>0</v>
      </c>
    </row>
    <row r="279" spans="1:25">
      <c r="A279" s="2"/>
      <c r="B279" s="2">
        <v>275</v>
      </c>
      <c r="C279" s="48" t="s">
        <v>304</v>
      </c>
      <c r="D279" s="234">
        <v>68550</v>
      </c>
      <c r="E279" s="143">
        <v>100785.71428571429</v>
      </c>
      <c r="F279">
        <v>68550</v>
      </c>
      <c r="G279" s="234">
        <f t="shared" si="41"/>
        <v>0</v>
      </c>
      <c r="H279">
        <v>101500</v>
      </c>
      <c r="I279" s="261">
        <f t="shared" si="42"/>
        <v>714.28571428571013</v>
      </c>
      <c r="J279">
        <v>68550</v>
      </c>
      <c r="K279" s="234">
        <f t="shared" si="43"/>
        <v>0</v>
      </c>
      <c r="L279" s="143">
        <v>101500</v>
      </c>
      <c r="M279" s="261">
        <f t="shared" si="44"/>
        <v>0</v>
      </c>
      <c r="N279" s="234">
        <v>68550</v>
      </c>
      <c r="O279" s="234">
        <f t="shared" si="45"/>
        <v>0</v>
      </c>
      <c r="P279" s="143">
        <v>101500</v>
      </c>
      <c r="Q279" s="261">
        <f t="shared" si="46"/>
        <v>0</v>
      </c>
      <c r="R279" s="281">
        <v>68550</v>
      </c>
      <c r="S279" s="234">
        <f t="shared" si="47"/>
        <v>0</v>
      </c>
      <c r="T279" s="22">
        <v>101500</v>
      </c>
      <c r="U279" s="261">
        <f t="shared" si="48"/>
        <v>0</v>
      </c>
      <c r="V279" s="281">
        <v>68550</v>
      </c>
      <c r="W279" s="234">
        <f t="shared" si="49"/>
        <v>0</v>
      </c>
      <c r="X279" s="22">
        <v>101500</v>
      </c>
      <c r="Y279" s="261">
        <f t="shared" si="50"/>
        <v>0</v>
      </c>
    </row>
    <row r="280" spans="1:25">
      <c r="A280" s="2"/>
      <c r="B280" s="71">
        <v>276</v>
      </c>
      <c r="C280" s="48" t="s">
        <v>305</v>
      </c>
      <c r="D280" s="234">
        <v>70000</v>
      </c>
      <c r="E280" s="143">
        <v>102857.14285714287</v>
      </c>
      <c r="F280">
        <v>70000</v>
      </c>
      <c r="G280" s="234">
        <f t="shared" si="41"/>
        <v>0</v>
      </c>
      <c r="H280">
        <v>103571.42857142858</v>
      </c>
      <c r="I280" s="261">
        <f t="shared" si="42"/>
        <v>714.28571428571013</v>
      </c>
      <c r="J280">
        <v>70000</v>
      </c>
      <c r="K280" s="234">
        <f t="shared" si="43"/>
        <v>0</v>
      </c>
      <c r="L280" s="143">
        <v>103571.42857142858</v>
      </c>
      <c r="M280" s="261">
        <f t="shared" si="44"/>
        <v>0</v>
      </c>
      <c r="N280" s="234">
        <v>70000</v>
      </c>
      <c r="O280" s="234">
        <f t="shared" si="45"/>
        <v>0</v>
      </c>
      <c r="P280" s="143">
        <v>103571.42857142858</v>
      </c>
      <c r="Q280" s="261">
        <f t="shared" si="46"/>
        <v>0</v>
      </c>
      <c r="R280" s="281">
        <v>70000</v>
      </c>
      <c r="S280" s="234">
        <f t="shared" si="47"/>
        <v>0</v>
      </c>
      <c r="T280" s="22">
        <v>103571.42857142858</v>
      </c>
      <c r="U280" s="261">
        <f t="shared" si="48"/>
        <v>0</v>
      </c>
      <c r="V280" s="281">
        <v>70000</v>
      </c>
      <c r="W280" s="234">
        <f t="shared" si="49"/>
        <v>0</v>
      </c>
      <c r="X280" s="22">
        <v>103571.42857142858</v>
      </c>
      <c r="Y280" s="261">
        <f t="shared" si="50"/>
        <v>0</v>
      </c>
    </row>
    <row r="281" spans="1:25">
      <c r="A281" s="2"/>
      <c r="B281" s="71">
        <v>277</v>
      </c>
      <c r="C281" s="48" t="s">
        <v>306</v>
      </c>
      <c r="D281" s="234">
        <v>75200</v>
      </c>
      <c r="E281" s="143">
        <v>110285.71428571429</v>
      </c>
      <c r="F281">
        <v>75200</v>
      </c>
      <c r="G281" s="234">
        <f t="shared" si="41"/>
        <v>0</v>
      </c>
      <c r="H281">
        <v>111000</v>
      </c>
      <c r="I281" s="261">
        <f t="shared" si="42"/>
        <v>714.28571428571013</v>
      </c>
      <c r="J281">
        <v>75200</v>
      </c>
      <c r="K281" s="234">
        <f t="shared" si="43"/>
        <v>0</v>
      </c>
      <c r="L281" s="143">
        <v>111000</v>
      </c>
      <c r="M281" s="261">
        <f t="shared" si="44"/>
        <v>0</v>
      </c>
      <c r="N281" s="234">
        <v>75200</v>
      </c>
      <c r="O281" s="234">
        <f t="shared" si="45"/>
        <v>0</v>
      </c>
      <c r="P281" s="143">
        <v>111000</v>
      </c>
      <c r="Q281" s="261">
        <f t="shared" si="46"/>
        <v>0</v>
      </c>
      <c r="R281" s="281">
        <v>75200</v>
      </c>
      <c r="S281" s="234">
        <f t="shared" si="47"/>
        <v>0</v>
      </c>
      <c r="T281" s="22">
        <v>111000</v>
      </c>
      <c r="U281" s="261">
        <f t="shared" si="48"/>
        <v>0</v>
      </c>
      <c r="V281" s="281">
        <v>75200</v>
      </c>
      <c r="W281" s="234">
        <f t="shared" si="49"/>
        <v>0</v>
      </c>
      <c r="X281" s="22">
        <v>111000</v>
      </c>
      <c r="Y281" s="261">
        <f t="shared" si="50"/>
        <v>0</v>
      </c>
    </row>
    <row r="282" spans="1:25">
      <c r="A282" s="2"/>
      <c r="B282" s="2">
        <v>278</v>
      </c>
      <c r="C282" s="48" t="s">
        <v>307</v>
      </c>
      <c r="D282" s="234">
        <v>82000</v>
      </c>
      <c r="E282" s="143">
        <v>120000.00000000001</v>
      </c>
      <c r="F282">
        <v>82000</v>
      </c>
      <c r="G282" s="234">
        <f t="shared" si="41"/>
        <v>0</v>
      </c>
      <c r="H282">
        <v>120714.28571428572</v>
      </c>
      <c r="I282" s="261">
        <f t="shared" si="42"/>
        <v>714.28571428571013</v>
      </c>
      <c r="J282">
        <v>82000</v>
      </c>
      <c r="K282" s="234">
        <f t="shared" si="43"/>
        <v>0</v>
      </c>
      <c r="L282" s="143">
        <v>120714.28571428572</v>
      </c>
      <c r="M282" s="261">
        <f t="shared" si="44"/>
        <v>0</v>
      </c>
      <c r="N282" s="234">
        <v>82000</v>
      </c>
      <c r="O282" s="234">
        <f t="shared" si="45"/>
        <v>0</v>
      </c>
      <c r="P282" s="143">
        <v>120714.28571428572</v>
      </c>
      <c r="Q282" s="261">
        <f t="shared" si="46"/>
        <v>0</v>
      </c>
      <c r="R282" s="281">
        <v>82000</v>
      </c>
      <c r="S282" s="234">
        <f t="shared" si="47"/>
        <v>0</v>
      </c>
      <c r="T282" s="22">
        <v>120714.28571428572</v>
      </c>
      <c r="U282" s="261">
        <f t="shared" si="48"/>
        <v>0</v>
      </c>
      <c r="V282" s="281">
        <v>82000</v>
      </c>
      <c r="W282" s="234">
        <f t="shared" si="49"/>
        <v>0</v>
      </c>
      <c r="X282" s="22">
        <v>120714.28571428572</v>
      </c>
      <c r="Y282" s="261">
        <f t="shared" si="50"/>
        <v>0</v>
      </c>
    </row>
    <row r="283" spans="1:25">
      <c r="A283" s="2"/>
      <c r="B283" s="71">
        <v>279</v>
      </c>
      <c r="C283" s="48" t="s">
        <v>308</v>
      </c>
      <c r="D283" s="234">
        <v>83800</v>
      </c>
      <c r="E283" s="143">
        <v>122571.42857142858</v>
      </c>
      <c r="F283">
        <v>83800</v>
      </c>
      <c r="G283" s="234">
        <f t="shared" si="41"/>
        <v>0</v>
      </c>
      <c r="H283">
        <v>121857.14285714287</v>
      </c>
      <c r="I283" s="261">
        <f t="shared" si="42"/>
        <v>-714.28571428571013</v>
      </c>
      <c r="J283">
        <v>83800</v>
      </c>
      <c r="K283" s="234">
        <f t="shared" si="43"/>
        <v>0</v>
      </c>
      <c r="L283" s="143">
        <v>121857.14285714287</v>
      </c>
      <c r="M283" s="261">
        <f t="shared" si="44"/>
        <v>0</v>
      </c>
      <c r="N283" s="234">
        <v>83800</v>
      </c>
      <c r="O283" s="234">
        <f t="shared" si="45"/>
        <v>0</v>
      </c>
      <c r="P283" s="143">
        <v>121857.14285714287</v>
      </c>
      <c r="Q283" s="261">
        <f t="shared" si="46"/>
        <v>0</v>
      </c>
      <c r="R283" s="281">
        <v>83800</v>
      </c>
      <c r="S283" s="234">
        <f t="shared" si="47"/>
        <v>0</v>
      </c>
      <c r="T283" s="22">
        <v>121857.14285714287</v>
      </c>
      <c r="U283" s="261">
        <f t="shared" si="48"/>
        <v>0</v>
      </c>
      <c r="V283" s="281">
        <v>83800</v>
      </c>
      <c r="W283" s="234">
        <f t="shared" si="49"/>
        <v>0</v>
      </c>
      <c r="X283" s="22">
        <v>121857.14285714287</v>
      </c>
      <c r="Y283" s="261">
        <f t="shared" si="50"/>
        <v>0</v>
      </c>
    </row>
    <row r="284" spans="1:25">
      <c r="A284" s="2"/>
      <c r="B284" s="71">
        <v>280</v>
      </c>
      <c r="C284" s="48" t="s">
        <v>309</v>
      </c>
      <c r="D284" s="234">
        <v>70000</v>
      </c>
      <c r="E284" s="143">
        <v>102857.14285714287</v>
      </c>
      <c r="F284">
        <v>70000</v>
      </c>
      <c r="G284" s="234">
        <f t="shared" si="41"/>
        <v>0</v>
      </c>
      <c r="H284">
        <v>103571.42857142858</v>
      </c>
      <c r="I284" s="261">
        <f t="shared" si="42"/>
        <v>714.28571428571013</v>
      </c>
      <c r="J284">
        <v>70000</v>
      </c>
      <c r="K284" s="234">
        <f t="shared" si="43"/>
        <v>0</v>
      </c>
      <c r="L284" s="143">
        <v>103571.42857142858</v>
      </c>
      <c r="M284" s="261">
        <f t="shared" si="44"/>
        <v>0</v>
      </c>
      <c r="N284" s="234">
        <v>70000</v>
      </c>
      <c r="O284" s="234">
        <f t="shared" si="45"/>
        <v>0</v>
      </c>
      <c r="P284" s="143">
        <v>103571.42857142858</v>
      </c>
      <c r="Q284" s="261">
        <f t="shared" si="46"/>
        <v>0</v>
      </c>
      <c r="R284" s="281">
        <v>70000</v>
      </c>
      <c r="S284" s="234">
        <f t="shared" si="47"/>
        <v>0</v>
      </c>
      <c r="T284" s="22">
        <v>103571.42857142858</v>
      </c>
      <c r="U284" s="261">
        <f t="shared" si="48"/>
        <v>0</v>
      </c>
      <c r="V284" s="281">
        <v>70000</v>
      </c>
      <c r="W284" s="234">
        <f t="shared" si="49"/>
        <v>0</v>
      </c>
      <c r="X284" s="22">
        <v>103571.42857142858</v>
      </c>
      <c r="Y284" s="261">
        <f t="shared" si="50"/>
        <v>0</v>
      </c>
    </row>
    <row r="285" spans="1:25">
      <c r="A285" s="2"/>
      <c r="B285" s="2">
        <v>281</v>
      </c>
      <c r="C285" s="48" t="s">
        <v>311</v>
      </c>
      <c r="D285" s="234">
        <v>73000</v>
      </c>
      <c r="E285" s="143">
        <v>107142.85714285714</v>
      </c>
      <c r="F285">
        <v>73000</v>
      </c>
      <c r="G285" s="234">
        <f t="shared" si="41"/>
        <v>0</v>
      </c>
      <c r="H285">
        <v>107857.14285714287</v>
      </c>
      <c r="I285" s="261">
        <f t="shared" si="42"/>
        <v>714.28571428572468</v>
      </c>
      <c r="J285">
        <v>73000</v>
      </c>
      <c r="K285" s="234">
        <f t="shared" si="43"/>
        <v>0</v>
      </c>
      <c r="L285" s="143">
        <v>107857.14285714287</v>
      </c>
      <c r="M285" s="261">
        <f t="shared" si="44"/>
        <v>0</v>
      </c>
      <c r="N285" s="234">
        <v>73000</v>
      </c>
      <c r="O285" s="234">
        <f t="shared" si="45"/>
        <v>0</v>
      </c>
      <c r="P285" s="143">
        <v>107857.14285714287</v>
      </c>
      <c r="Q285" s="261">
        <f t="shared" si="46"/>
        <v>0</v>
      </c>
      <c r="R285" s="281">
        <v>73000</v>
      </c>
      <c r="S285" s="234">
        <f t="shared" si="47"/>
        <v>0</v>
      </c>
      <c r="T285" s="22">
        <v>107857.14285714287</v>
      </c>
      <c r="U285" s="261">
        <f t="shared" si="48"/>
        <v>0</v>
      </c>
      <c r="V285" s="281">
        <v>73000</v>
      </c>
      <c r="W285" s="234">
        <f t="shared" si="49"/>
        <v>0</v>
      </c>
      <c r="X285" s="22">
        <v>107857.14285714287</v>
      </c>
      <c r="Y285" s="261">
        <f t="shared" si="50"/>
        <v>0</v>
      </c>
    </row>
    <row r="286" spans="1:25">
      <c r="A286" s="2"/>
      <c r="B286" s="71">
        <v>282</v>
      </c>
      <c r="C286" s="48" t="s">
        <v>313</v>
      </c>
      <c r="D286" s="234">
        <v>77000</v>
      </c>
      <c r="E286" s="143">
        <v>112857.14285714287</v>
      </c>
      <c r="F286">
        <v>77000</v>
      </c>
      <c r="G286" s="234">
        <f t="shared" si="41"/>
        <v>0</v>
      </c>
      <c r="H286">
        <v>113571.42857142858</v>
      </c>
      <c r="I286" s="261">
        <f t="shared" si="42"/>
        <v>714.28571428571013</v>
      </c>
      <c r="J286">
        <v>77000</v>
      </c>
      <c r="K286" s="234">
        <f t="shared" si="43"/>
        <v>0</v>
      </c>
      <c r="L286" s="143">
        <v>113571.42857142858</v>
      </c>
      <c r="M286" s="261">
        <f t="shared" si="44"/>
        <v>0</v>
      </c>
      <c r="N286" s="234">
        <v>77000</v>
      </c>
      <c r="O286" s="234">
        <f t="shared" si="45"/>
        <v>0</v>
      </c>
      <c r="P286" s="143">
        <v>113571.42857142858</v>
      </c>
      <c r="Q286" s="261">
        <f t="shared" si="46"/>
        <v>0</v>
      </c>
      <c r="R286" s="281">
        <v>77000</v>
      </c>
      <c r="S286" s="234">
        <f t="shared" si="47"/>
        <v>0</v>
      </c>
      <c r="T286" s="22">
        <v>113571.42857142858</v>
      </c>
      <c r="U286" s="261">
        <f t="shared" si="48"/>
        <v>0</v>
      </c>
      <c r="V286" s="281">
        <v>77000</v>
      </c>
      <c r="W286" s="234">
        <f t="shared" si="49"/>
        <v>0</v>
      </c>
      <c r="X286" s="22">
        <v>113571.42857142858</v>
      </c>
      <c r="Y286" s="261">
        <f t="shared" si="50"/>
        <v>0</v>
      </c>
    </row>
    <row r="287" spans="1:25">
      <c r="A287" s="2"/>
      <c r="B287" s="71">
        <v>283</v>
      </c>
      <c r="C287" s="48" t="s">
        <v>312</v>
      </c>
      <c r="D287" s="234">
        <v>82000</v>
      </c>
      <c r="E287" s="143">
        <v>120000.00000000001</v>
      </c>
      <c r="F287">
        <v>82000</v>
      </c>
      <c r="G287" s="234">
        <f t="shared" si="41"/>
        <v>0</v>
      </c>
      <c r="H287">
        <v>119285.71428571429</v>
      </c>
      <c r="I287" s="261">
        <f t="shared" si="42"/>
        <v>-714.28571428572468</v>
      </c>
      <c r="J287">
        <v>82000</v>
      </c>
      <c r="K287" s="234">
        <f t="shared" si="43"/>
        <v>0</v>
      </c>
      <c r="L287" s="143">
        <v>119285.71428571429</v>
      </c>
      <c r="M287" s="261">
        <f t="shared" si="44"/>
        <v>0</v>
      </c>
      <c r="N287" s="234">
        <v>82000</v>
      </c>
      <c r="O287" s="234">
        <f t="shared" si="45"/>
        <v>0</v>
      </c>
      <c r="P287" s="143">
        <v>118571.42857142858</v>
      </c>
      <c r="Q287" s="261">
        <f t="shared" si="46"/>
        <v>-714.28571428571013</v>
      </c>
      <c r="R287" s="281">
        <v>82000</v>
      </c>
      <c r="S287" s="234">
        <f t="shared" si="47"/>
        <v>0</v>
      </c>
      <c r="T287" s="22">
        <v>118571.42857142858</v>
      </c>
      <c r="U287" s="261">
        <f t="shared" si="48"/>
        <v>0</v>
      </c>
      <c r="V287" s="281">
        <v>82000</v>
      </c>
      <c r="W287" s="234">
        <f t="shared" si="49"/>
        <v>0</v>
      </c>
      <c r="X287" s="22">
        <v>118571.42857142858</v>
      </c>
      <c r="Y287" s="261">
        <f t="shared" si="50"/>
        <v>0</v>
      </c>
    </row>
    <row r="288" spans="1:25">
      <c r="A288" s="2"/>
      <c r="B288" s="2">
        <v>284</v>
      </c>
      <c r="C288" s="48" t="s">
        <v>314</v>
      </c>
      <c r="D288" s="234">
        <v>74950</v>
      </c>
      <c r="E288" s="143">
        <v>109928.57142857143</v>
      </c>
      <c r="F288">
        <v>74950</v>
      </c>
      <c r="G288" s="234">
        <f t="shared" si="41"/>
        <v>0</v>
      </c>
      <c r="H288">
        <v>110642.85714285714</v>
      </c>
      <c r="I288" s="261">
        <f t="shared" si="42"/>
        <v>714.28571428571013</v>
      </c>
      <c r="J288">
        <v>74950</v>
      </c>
      <c r="K288" s="234">
        <f t="shared" si="43"/>
        <v>0</v>
      </c>
      <c r="L288" s="143">
        <v>110642.85714285714</v>
      </c>
      <c r="M288" s="261">
        <f t="shared" si="44"/>
        <v>0</v>
      </c>
      <c r="N288" s="234">
        <v>74950</v>
      </c>
      <c r="O288" s="234">
        <f t="shared" si="45"/>
        <v>0</v>
      </c>
      <c r="P288" s="143">
        <v>110642.85714285714</v>
      </c>
      <c r="Q288" s="261">
        <f t="shared" si="46"/>
        <v>0</v>
      </c>
      <c r="R288" s="281">
        <v>74950</v>
      </c>
      <c r="S288" s="234">
        <f t="shared" si="47"/>
        <v>0</v>
      </c>
      <c r="T288" s="22">
        <v>110642.85714285714</v>
      </c>
      <c r="U288" s="261">
        <f t="shared" si="48"/>
        <v>0</v>
      </c>
      <c r="V288" s="281">
        <v>74950</v>
      </c>
      <c r="W288" s="234">
        <f t="shared" si="49"/>
        <v>0</v>
      </c>
      <c r="X288" s="22">
        <v>110642.85714285714</v>
      </c>
      <c r="Y288" s="261">
        <f t="shared" si="50"/>
        <v>0</v>
      </c>
    </row>
    <row r="289" spans="1:25">
      <c r="A289" s="2"/>
      <c r="B289" s="71">
        <v>285</v>
      </c>
      <c r="C289" s="48" t="s">
        <v>315</v>
      </c>
      <c r="D289" s="234">
        <v>71550</v>
      </c>
      <c r="E289" s="143">
        <v>105071.42857142858</v>
      </c>
      <c r="F289">
        <v>71550</v>
      </c>
      <c r="G289" s="234">
        <f t="shared" si="41"/>
        <v>0</v>
      </c>
      <c r="H289">
        <v>105785.71428571429</v>
      </c>
      <c r="I289" s="261">
        <f t="shared" si="42"/>
        <v>714.28571428571013</v>
      </c>
      <c r="J289">
        <v>71550</v>
      </c>
      <c r="K289" s="234">
        <f t="shared" si="43"/>
        <v>0</v>
      </c>
      <c r="L289" s="143">
        <v>105785.71428571429</v>
      </c>
      <c r="M289" s="261">
        <f t="shared" si="44"/>
        <v>0</v>
      </c>
      <c r="N289" s="234">
        <v>71550</v>
      </c>
      <c r="O289" s="234">
        <f t="shared" si="45"/>
        <v>0</v>
      </c>
      <c r="P289" s="143">
        <v>105785.71428571429</v>
      </c>
      <c r="Q289" s="261">
        <f t="shared" si="46"/>
        <v>0</v>
      </c>
      <c r="R289" s="281">
        <v>71550</v>
      </c>
      <c r="S289" s="234">
        <f t="shared" si="47"/>
        <v>0</v>
      </c>
      <c r="T289" s="22">
        <v>105785.71428571429</v>
      </c>
      <c r="U289" s="261">
        <f t="shared" si="48"/>
        <v>0</v>
      </c>
      <c r="V289" s="281">
        <v>71550</v>
      </c>
      <c r="W289" s="234">
        <f t="shared" si="49"/>
        <v>0</v>
      </c>
      <c r="X289" s="22">
        <v>105785.71428571429</v>
      </c>
      <c r="Y289" s="261">
        <f t="shared" si="50"/>
        <v>0</v>
      </c>
    </row>
    <row r="290" spans="1:25">
      <c r="A290" s="2"/>
      <c r="B290" s="71">
        <v>286</v>
      </c>
      <c r="C290" s="48" t="s">
        <v>316</v>
      </c>
      <c r="D290" s="234">
        <v>75000</v>
      </c>
      <c r="E290" s="143">
        <v>110000</v>
      </c>
      <c r="F290">
        <v>75000</v>
      </c>
      <c r="G290" s="234">
        <f t="shared" si="41"/>
        <v>0</v>
      </c>
      <c r="H290">
        <v>110714.28571428572</v>
      </c>
      <c r="I290" s="261">
        <f t="shared" si="42"/>
        <v>714.28571428572468</v>
      </c>
      <c r="J290">
        <v>75000</v>
      </c>
      <c r="K290" s="234">
        <f t="shared" si="43"/>
        <v>0</v>
      </c>
      <c r="L290" s="143">
        <v>110714.28571428572</v>
      </c>
      <c r="M290" s="261">
        <f t="shared" si="44"/>
        <v>0</v>
      </c>
      <c r="N290" s="234">
        <v>75000</v>
      </c>
      <c r="O290" s="234">
        <f t="shared" si="45"/>
        <v>0</v>
      </c>
      <c r="P290" s="143">
        <v>110714.28571428572</v>
      </c>
      <c r="Q290" s="261">
        <f t="shared" si="46"/>
        <v>0</v>
      </c>
      <c r="R290" s="281">
        <v>75000</v>
      </c>
      <c r="S290" s="234">
        <f t="shared" si="47"/>
        <v>0</v>
      </c>
      <c r="T290" s="22">
        <v>110714.28571428572</v>
      </c>
      <c r="U290" s="261">
        <f t="shared" si="48"/>
        <v>0</v>
      </c>
      <c r="V290" s="281">
        <v>75000</v>
      </c>
      <c r="W290" s="234">
        <f t="shared" si="49"/>
        <v>0</v>
      </c>
      <c r="X290" s="22">
        <v>110714.28571428572</v>
      </c>
      <c r="Y290" s="261">
        <f t="shared" si="50"/>
        <v>0</v>
      </c>
    </row>
    <row r="291" spans="1:25">
      <c r="A291" s="2"/>
      <c r="B291" s="2">
        <v>287</v>
      </c>
      <c r="C291" s="48" t="s">
        <v>317</v>
      </c>
      <c r="D291" s="234">
        <v>83000</v>
      </c>
      <c r="E291" s="143">
        <v>121428.57142857143</v>
      </c>
      <c r="F291">
        <v>83000</v>
      </c>
      <c r="G291" s="234">
        <f t="shared" si="41"/>
        <v>0</v>
      </c>
      <c r="H291">
        <v>122142.85714285714</v>
      </c>
      <c r="I291" s="261">
        <f t="shared" si="42"/>
        <v>714.28571428571013</v>
      </c>
      <c r="J291">
        <v>83000</v>
      </c>
      <c r="K291" s="234">
        <f t="shared" si="43"/>
        <v>0</v>
      </c>
      <c r="L291" s="143">
        <v>122142.85714285714</v>
      </c>
      <c r="M291" s="261">
        <f t="shared" si="44"/>
        <v>0</v>
      </c>
      <c r="N291" s="234">
        <v>83000</v>
      </c>
      <c r="O291" s="234">
        <f t="shared" si="45"/>
        <v>0</v>
      </c>
      <c r="P291" s="143">
        <v>122142.85714285714</v>
      </c>
      <c r="Q291" s="261">
        <f t="shared" si="46"/>
        <v>0</v>
      </c>
      <c r="R291" s="281">
        <v>83000</v>
      </c>
      <c r="S291" s="234">
        <f t="shared" si="47"/>
        <v>0</v>
      </c>
      <c r="T291" s="22">
        <v>122142.85714285714</v>
      </c>
      <c r="U291" s="261">
        <f t="shared" si="48"/>
        <v>0</v>
      </c>
      <c r="V291" s="281">
        <v>83000</v>
      </c>
      <c r="W291" s="234">
        <f t="shared" si="49"/>
        <v>0</v>
      </c>
      <c r="X291" s="22">
        <v>122142.85714285714</v>
      </c>
      <c r="Y291" s="261">
        <f t="shared" si="50"/>
        <v>0</v>
      </c>
    </row>
    <row r="292" spans="1:25">
      <c r="A292" s="2"/>
      <c r="B292" s="71">
        <v>288</v>
      </c>
      <c r="C292" s="48" t="s">
        <v>318</v>
      </c>
      <c r="D292" s="234">
        <v>87500</v>
      </c>
      <c r="E292" s="143">
        <v>127857.14285714287</v>
      </c>
      <c r="F292">
        <v>87500</v>
      </c>
      <c r="G292" s="234">
        <f t="shared" si="41"/>
        <v>0</v>
      </c>
      <c r="H292">
        <v>128571.42857142858</v>
      </c>
      <c r="I292" s="261">
        <f t="shared" si="42"/>
        <v>714.28571428571013</v>
      </c>
      <c r="J292">
        <v>87500</v>
      </c>
      <c r="K292" s="234">
        <f t="shared" si="43"/>
        <v>0</v>
      </c>
      <c r="L292" s="143">
        <v>128571.42857142858</v>
      </c>
      <c r="M292" s="261">
        <f t="shared" si="44"/>
        <v>0</v>
      </c>
      <c r="N292" s="234">
        <v>87500</v>
      </c>
      <c r="O292" s="234">
        <f t="shared" si="45"/>
        <v>0</v>
      </c>
      <c r="P292" s="143">
        <v>128571.42857142858</v>
      </c>
      <c r="Q292" s="261">
        <f t="shared" si="46"/>
        <v>0</v>
      </c>
      <c r="R292" s="281">
        <v>87500</v>
      </c>
      <c r="S292" s="234">
        <f t="shared" si="47"/>
        <v>0</v>
      </c>
      <c r="T292" s="22">
        <v>128571.42857142858</v>
      </c>
      <c r="U292" s="261">
        <f t="shared" si="48"/>
        <v>0</v>
      </c>
      <c r="V292" s="281">
        <v>87500</v>
      </c>
      <c r="W292" s="234">
        <f t="shared" si="49"/>
        <v>0</v>
      </c>
      <c r="X292" s="22">
        <v>128571.42857142858</v>
      </c>
      <c r="Y292" s="261">
        <f t="shared" si="50"/>
        <v>0</v>
      </c>
    </row>
    <row r="293" spans="1:25">
      <c r="A293" s="2"/>
      <c r="B293" s="71">
        <v>289</v>
      </c>
      <c r="C293" s="173" t="s">
        <v>689</v>
      </c>
      <c r="D293" s="234">
        <v>89000</v>
      </c>
      <c r="E293" s="143">
        <v>130000.00000000001</v>
      </c>
      <c r="F293">
        <v>89000</v>
      </c>
      <c r="G293" s="234">
        <f t="shared" si="41"/>
        <v>0</v>
      </c>
      <c r="H293">
        <v>129285.71428571429</v>
      </c>
      <c r="I293" s="261">
        <f t="shared" si="42"/>
        <v>-714.28571428572468</v>
      </c>
      <c r="J293">
        <v>89000</v>
      </c>
      <c r="K293" s="234">
        <f t="shared" si="43"/>
        <v>0</v>
      </c>
      <c r="L293" s="143">
        <v>129285.71428571429</v>
      </c>
      <c r="M293" s="261">
        <f t="shared" si="44"/>
        <v>0</v>
      </c>
      <c r="N293" s="234">
        <v>89000</v>
      </c>
      <c r="O293" s="234">
        <f t="shared" si="45"/>
        <v>0</v>
      </c>
      <c r="P293" s="143">
        <v>128571.42857142858</v>
      </c>
      <c r="Q293" s="261">
        <f t="shared" si="46"/>
        <v>-714.28571428571013</v>
      </c>
      <c r="R293" s="281">
        <v>89000</v>
      </c>
      <c r="S293" s="234">
        <f t="shared" si="47"/>
        <v>0</v>
      </c>
      <c r="T293" s="22">
        <v>128571.42857142858</v>
      </c>
      <c r="U293" s="261">
        <f t="shared" si="48"/>
        <v>0</v>
      </c>
      <c r="V293" s="281">
        <v>89000</v>
      </c>
      <c r="W293" s="234">
        <f t="shared" si="49"/>
        <v>0</v>
      </c>
      <c r="X293" s="22">
        <v>128571.42857142858</v>
      </c>
      <c r="Y293" s="261">
        <f t="shared" si="50"/>
        <v>0</v>
      </c>
    </row>
    <row r="294" spans="1:25">
      <c r="A294" s="2"/>
      <c r="B294" s="2">
        <v>290</v>
      </c>
      <c r="C294" s="48" t="s">
        <v>319</v>
      </c>
      <c r="D294" s="234">
        <v>77200</v>
      </c>
      <c r="E294" s="143">
        <v>113142.85714285714</v>
      </c>
      <c r="F294">
        <v>77200</v>
      </c>
      <c r="G294" s="234">
        <f t="shared" si="41"/>
        <v>0</v>
      </c>
      <c r="H294">
        <v>113857.14285714287</v>
      </c>
      <c r="I294" s="261">
        <f t="shared" si="42"/>
        <v>714.28571428572468</v>
      </c>
      <c r="J294">
        <v>77200</v>
      </c>
      <c r="K294" s="234">
        <f t="shared" si="43"/>
        <v>0</v>
      </c>
      <c r="L294" s="143">
        <v>113857.14285714287</v>
      </c>
      <c r="M294" s="261">
        <f t="shared" si="44"/>
        <v>0</v>
      </c>
      <c r="N294" s="234">
        <v>77200</v>
      </c>
      <c r="O294" s="234">
        <f t="shared" si="45"/>
        <v>0</v>
      </c>
      <c r="P294" s="143">
        <v>113857.14285714287</v>
      </c>
      <c r="Q294" s="261">
        <f t="shared" si="46"/>
        <v>0</v>
      </c>
      <c r="R294" s="281">
        <v>77200</v>
      </c>
      <c r="S294" s="234">
        <f t="shared" si="47"/>
        <v>0</v>
      </c>
      <c r="T294" s="22">
        <v>113857.14285714287</v>
      </c>
      <c r="U294" s="261">
        <f t="shared" si="48"/>
        <v>0</v>
      </c>
      <c r="V294" s="281">
        <v>77200</v>
      </c>
      <c r="W294" s="234">
        <f t="shared" si="49"/>
        <v>0</v>
      </c>
      <c r="X294" s="22">
        <v>113857.14285714287</v>
      </c>
      <c r="Y294" s="261">
        <f t="shared" si="50"/>
        <v>0</v>
      </c>
    </row>
    <row r="295" spans="1:25">
      <c r="A295" s="2"/>
      <c r="B295" s="71">
        <v>291</v>
      </c>
      <c r="C295" s="48" t="s">
        <v>320</v>
      </c>
      <c r="D295" s="234">
        <v>65000</v>
      </c>
      <c r="E295" s="143">
        <v>95714.285714285725</v>
      </c>
      <c r="F295">
        <v>65000</v>
      </c>
      <c r="G295" s="234">
        <f t="shared" si="41"/>
        <v>0</v>
      </c>
      <c r="H295">
        <v>96428.571428571435</v>
      </c>
      <c r="I295" s="261">
        <f t="shared" si="42"/>
        <v>714.28571428571013</v>
      </c>
      <c r="J295">
        <v>65000</v>
      </c>
      <c r="K295" s="234">
        <f t="shared" si="43"/>
        <v>0</v>
      </c>
      <c r="L295" s="143">
        <v>96428.571428571435</v>
      </c>
      <c r="M295" s="261">
        <f t="shared" si="44"/>
        <v>0</v>
      </c>
      <c r="N295" s="234">
        <v>65000</v>
      </c>
      <c r="O295" s="234">
        <f t="shared" si="45"/>
        <v>0</v>
      </c>
      <c r="P295" s="143">
        <v>96428.571428571435</v>
      </c>
      <c r="Q295" s="261">
        <f t="shared" si="46"/>
        <v>0</v>
      </c>
      <c r="R295" s="281">
        <v>65000</v>
      </c>
      <c r="S295" s="234">
        <f t="shared" si="47"/>
        <v>0</v>
      </c>
      <c r="T295" s="22">
        <v>96428.571428571435</v>
      </c>
      <c r="U295" s="261">
        <f t="shared" si="48"/>
        <v>0</v>
      </c>
      <c r="V295" s="281">
        <v>65000</v>
      </c>
      <c r="W295" s="234">
        <f t="shared" si="49"/>
        <v>0</v>
      </c>
      <c r="X295" s="22">
        <v>96428.571428571435</v>
      </c>
      <c r="Y295" s="261">
        <f t="shared" si="50"/>
        <v>0</v>
      </c>
    </row>
    <row r="296" spans="1:25">
      <c r="A296" s="2"/>
      <c r="B296" s="71">
        <v>292</v>
      </c>
      <c r="C296" s="48" t="s">
        <v>321</v>
      </c>
      <c r="D296" s="234">
        <v>70000</v>
      </c>
      <c r="E296" s="143">
        <v>102857.14285714287</v>
      </c>
      <c r="F296">
        <v>70000</v>
      </c>
      <c r="G296" s="234">
        <f t="shared" si="41"/>
        <v>0</v>
      </c>
      <c r="H296">
        <v>103571.42857142858</v>
      </c>
      <c r="I296" s="261">
        <f t="shared" si="42"/>
        <v>714.28571428571013</v>
      </c>
      <c r="J296">
        <v>70000</v>
      </c>
      <c r="K296" s="234">
        <f t="shared" si="43"/>
        <v>0</v>
      </c>
      <c r="L296" s="143">
        <v>103571.42857142858</v>
      </c>
      <c r="M296" s="261">
        <f t="shared" si="44"/>
        <v>0</v>
      </c>
      <c r="N296" s="234">
        <v>70000</v>
      </c>
      <c r="O296" s="234">
        <f t="shared" si="45"/>
        <v>0</v>
      </c>
      <c r="P296" s="143">
        <v>103571.42857142858</v>
      </c>
      <c r="Q296" s="261">
        <f t="shared" si="46"/>
        <v>0</v>
      </c>
      <c r="R296" s="281">
        <v>70000</v>
      </c>
      <c r="S296" s="234">
        <f t="shared" si="47"/>
        <v>0</v>
      </c>
      <c r="T296" s="22">
        <v>103571.42857142858</v>
      </c>
      <c r="U296" s="261">
        <f t="shared" si="48"/>
        <v>0</v>
      </c>
      <c r="V296" s="281">
        <v>70000</v>
      </c>
      <c r="W296" s="234">
        <f t="shared" si="49"/>
        <v>0</v>
      </c>
      <c r="X296" s="22">
        <v>103571.42857142858</v>
      </c>
      <c r="Y296" s="261">
        <f t="shared" si="50"/>
        <v>0</v>
      </c>
    </row>
    <row r="297" spans="1:25">
      <c r="A297" s="2"/>
      <c r="B297" s="2">
        <v>293</v>
      </c>
      <c r="C297" s="48" t="s">
        <v>322</v>
      </c>
      <c r="D297" s="234">
        <v>67500</v>
      </c>
      <c r="E297" s="143">
        <v>99285.71428571429</v>
      </c>
      <c r="F297">
        <v>67500</v>
      </c>
      <c r="G297" s="234">
        <f t="shared" si="41"/>
        <v>0</v>
      </c>
      <c r="H297">
        <v>100000</v>
      </c>
      <c r="I297" s="261">
        <f t="shared" si="42"/>
        <v>714.28571428571013</v>
      </c>
      <c r="J297">
        <v>67500</v>
      </c>
      <c r="K297" s="234">
        <f t="shared" si="43"/>
        <v>0</v>
      </c>
      <c r="L297" s="143">
        <v>100000</v>
      </c>
      <c r="M297" s="261">
        <f t="shared" si="44"/>
        <v>0</v>
      </c>
      <c r="N297" s="234">
        <v>67500</v>
      </c>
      <c r="O297" s="234">
        <f t="shared" si="45"/>
        <v>0</v>
      </c>
      <c r="P297" s="143">
        <v>100000</v>
      </c>
      <c r="Q297" s="261">
        <f t="shared" si="46"/>
        <v>0</v>
      </c>
      <c r="R297" s="281">
        <v>67500</v>
      </c>
      <c r="S297" s="234">
        <f t="shared" si="47"/>
        <v>0</v>
      </c>
      <c r="T297" s="22">
        <v>100000</v>
      </c>
      <c r="U297" s="261">
        <f t="shared" si="48"/>
        <v>0</v>
      </c>
      <c r="V297" s="281">
        <v>67500</v>
      </c>
      <c r="W297" s="234">
        <f t="shared" si="49"/>
        <v>0</v>
      </c>
      <c r="X297" s="22">
        <v>100000</v>
      </c>
      <c r="Y297" s="261">
        <f t="shared" si="50"/>
        <v>0</v>
      </c>
    </row>
    <row r="298" spans="1:25">
      <c r="A298" s="2"/>
      <c r="B298" s="71">
        <v>294</v>
      </c>
      <c r="C298" s="173" t="s">
        <v>690</v>
      </c>
      <c r="D298" s="234">
        <v>80000</v>
      </c>
      <c r="E298" s="143">
        <v>117142.85714285714</v>
      </c>
      <c r="F298">
        <v>80000</v>
      </c>
      <c r="G298" s="234">
        <f t="shared" si="41"/>
        <v>0</v>
      </c>
      <c r="H298">
        <v>117142.85714285714</v>
      </c>
      <c r="I298" s="261">
        <f t="shared" si="42"/>
        <v>0</v>
      </c>
      <c r="J298">
        <v>80000</v>
      </c>
      <c r="K298" s="234">
        <f t="shared" si="43"/>
        <v>0</v>
      </c>
      <c r="L298" s="143">
        <v>117142.85714285714</v>
      </c>
      <c r="M298" s="261">
        <f t="shared" si="44"/>
        <v>0</v>
      </c>
      <c r="N298" s="234">
        <v>80000</v>
      </c>
      <c r="O298" s="234">
        <f t="shared" si="45"/>
        <v>0</v>
      </c>
      <c r="P298" s="143">
        <v>117142.85714285714</v>
      </c>
      <c r="Q298" s="261">
        <f t="shared" si="46"/>
        <v>0</v>
      </c>
      <c r="R298" s="283">
        <v>80000</v>
      </c>
      <c r="S298" s="234">
        <f t="shared" si="47"/>
        <v>0</v>
      </c>
      <c r="T298" s="22">
        <v>117142.85714285714</v>
      </c>
      <c r="U298" s="261">
        <f t="shared" si="48"/>
        <v>0</v>
      </c>
      <c r="V298" s="283">
        <v>80000</v>
      </c>
      <c r="W298" s="234">
        <f t="shared" si="49"/>
        <v>0</v>
      </c>
      <c r="X298" s="22">
        <v>117142.85714285714</v>
      </c>
      <c r="Y298" s="261">
        <f t="shared" si="50"/>
        <v>0</v>
      </c>
    </row>
    <row r="299" spans="1:25">
      <c r="A299" s="2"/>
      <c r="B299" s="71">
        <v>295</v>
      </c>
      <c r="C299" s="48" t="s">
        <v>324</v>
      </c>
      <c r="D299" s="234">
        <v>70000</v>
      </c>
      <c r="E299" s="143">
        <v>102857.14285714287</v>
      </c>
      <c r="F299">
        <v>70000</v>
      </c>
      <c r="G299" s="234">
        <f t="shared" si="41"/>
        <v>0</v>
      </c>
      <c r="H299">
        <v>103571.42857142858</v>
      </c>
      <c r="I299" s="261">
        <f t="shared" si="42"/>
        <v>714.28571428571013</v>
      </c>
      <c r="J299">
        <v>70000</v>
      </c>
      <c r="K299" s="234">
        <f t="shared" si="43"/>
        <v>0</v>
      </c>
      <c r="L299" s="143">
        <v>103571.42857142858</v>
      </c>
      <c r="M299" s="261">
        <f t="shared" si="44"/>
        <v>0</v>
      </c>
      <c r="N299" s="234">
        <v>70000</v>
      </c>
      <c r="O299" s="234">
        <f t="shared" si="45"/>
        <v>0</v>
      </c>
      <c r="P299" s="143">
        <v>103571.42857142858</v>
      </c>
      <c r="Q299" s="261">
        <f t="shared" si="46"/>
        <v>0</v>
      </c>
      <c r="R299" s="281">
        <v>70000</v>
      </c>
      <c r="S299" s="234">
        <f t="shared" si="47"/>
        <v>0</v>
      </c>
      <c r="T299" s="22">
        <v>103571.42857142858</v>
      </c>
      <c r="U299" s="261">
        <f t="shared" si="48"/>
        <v>0</v>
      </c>
      <c r="V299" s="281">
        <v>70000</v>
      </c>
      <c r="W299" s="234">
        <f t="shared" si="49"/>
        <v>0</v>
      </c>
      <c r="X299" s="22">
        <v>103571.42857142858</v>
      </c>
      <c r="Y299" s="261">
        <f t="shared" si="50"/>
        <v>0</v>
      </c>
    </row>
    <row r="300" spans="1:25">
      <c r="A300" s="2"/>
      <c r="B300" s="2">
        <v>296</v>
      </c>
      <c r="C300" s="48" t="s">
        <v>323</v>
      </c>
      <c r="D300" s="234">
        <v>73000</v>
      </c>
      <c r="E300" s="143">
        <v>107142.85714285714</v>
      </c>
      <c r="F300">
        <v>73000</v>
      </c>
      <c r="G300" s="234">
        <f t="shared" si="41"/>
        <v>0</v>
      </c>
      <c r="H300">
        <v>107857.14285714287</v>
      </c>
      <c r="I300" s="261">
        <f t="shared" si="42"/>
        <v>714.28571428572468</v>
      </c>
      <c r="J300">
        <v>73000</v>
      </c>
      <c r="K300" s="234">
        <f t="shared" si="43"/>
        <v>0</v>
      </c>
      <c r="L300" s="143">
        <v>107857.14285714287</v>
      </c>
      <c r="M300" s="261">
        <f t="shared" si="44"/>
        <v>0</v>
      </c>
      <c r="N300" s="234">
        <v>73000</v>
      </c>
      <c r="O300" s="234">
        <f t="shared" si="45"/>
        <v>0</v>
      </c>
      <c r="P300" s="143">
        <v>107857.14285714287</v>
      </c>
      <c r="Q300" s="261">
        <f t="shared" si="46"/>
        <v>0</v>
      </c>
      <c r="R300" s="281">
        <v>73000</v>
      </c>
      <c r="S300" s="234">
        <f t="shared" si="47"/>
        <v>0</v>
      </c>
      <c r="T300" s="22">
        <v>107857.14285714287</v>
      </c>
      <c r="U300" s="261">
        <f t="shared" si="48"/>
        <v>0</v>
      </c>
      <c r="V300" s="281">
        <v>73000</v>
      </c>
      <c r="W300" s="234">
        <f t="shared" si="49"/>
        <v>0</v>
      </c>
      <c r="X300" s="22">
        <v>107857.14285714287</v>
      </c>
      <c r="Y300" s="261">
        <f t="shared" si="50"/>
        <v>0</v>
      </c>
    </row>
    <row r="301" spans="1:25">
      <c r="A301" s="2"/>
      <c r="B301" s="71">
        <v>297</v>
      </c>
      <c r="C301" s="48" t="s">
        <v>325</v>
      </c>
      <c r="D301" s="234">
        <v>72000</v>
      </c>
      <c r="E301" s="143">
        <v>105714.28571428572</v>
      </c>
      <c r="F301">
        <v>72000</v>
      </c>
      <c r="G301" s="234">
        <f t="shared" si="41"/>
        <v>0</v>
      </c>
      <c r="H301">
        <v>106428.57142857143</v>
      </c>
      <c r="I301" s="261">
        <f t="shared" si="42"/>
        <v>714.28571428571013</v>
      </c>
      <c r="J301">
        <v>72000</v>
      </c>
      <c r="K301" s="234">
        <f t="shared" si="43"/>
        <v>0</v>
      </c>
      <c r="L301" s="143">
        <v>106428.57142857143</v>
      </c>
      <c r="M301" s="261">
        <f t="shared" si="44"/>
        <v>0</v>
      </c>
      <c r="N301" s="234">
        <v>72000</v>
      </c>
      <c r="O301" s="234">
        <f t="shared" si="45"/>
        <v>0</v>
      </c>
      <c r="P301" s="143">
        <v>106428.57142857143</v>
      </c>
      <c r="Q301" s="261">
        <f t="shared" si="46"/>
        <v>0</v>
      </c>
      <c r="R301" s="281">
        <v>72000</v>
      </c>
      <c r="S301" s="234">
        <f t="shared" si="47"/>
        <v>0</v>
      </c>
      <c r="T301" s="22">
        <v>106428.57142857143</v>
      </c>
      <c r="U301" s="261">
        <f t="shared" si="48"/>
        <v>0</v>
      </c>
      <c r="V301" s="281">
        <v>72000</v>
      </c>
      <c r="W301" s="234">
        <f t="shared" si="49"/>
        <v>0</v>
      </c>
      <c r="X301" s="22">
        <v>106428.57142857143</v>
      </c>
      <c r="Y301" s="261">
        <f t="shared" si="50"/>
        <v>0</v>
      </c>
    </row>
    <row r="302" spans="1:25">
      <c r="A302" s="2"/>
      <c r="B302" s="71">
        <v>298</v>
      </c>
      <c r="C302" s="48" t="s">
        <v>326</v>
      </c>
      <c r="D302" s="234">
        <v>69950</v>
      </c>
      <c r="E302" s="143">
        <v>102785.71428571429</v>
      </c>
      <c r="F302">
        <v>69950</v>
      </c>
      <c r="G302" s="234">
        <f t="shared" si="41"/>
        <v>0</v>
      </c>
      <c r="H302">
        <v>103500</v>
      </c>
      <c r="I302" s="261">
        <f t="shared" si="42"/>
        <v>714.28571428571013</v>
      </c>
      <c r="J302">
        <v>69950</v>
      </c>
      <c r="K302" s="234">
        <f t="shared" si="43"/>
        <v>0</v>
      </c>
      <c r="L302" s="143">
        <v>103500</v>
      </c>
      <c r="M302" s="261">
        <f t="shared" si="44"/>
        <v>0</v>
      </c>
      <c r="N302" s="234">
        <v>69950</v>
      </c>
      <c r="O302" s="234">
        <f t="shared" si="45"/>
        <v>0</v>
      </c>
      <c r="P302" s="143">
        <v>103500</v>
      </c>
      <c r="Q302" s="261">
        <f t="shared" si="46"/>
        <v>0</v>
      </c>
      <c r="R302" s="283">
        <v>69950</v>
      </c>
      <c r="S302" s="234">
        <f t="shared" si="47"/>
        <v>0</v>
      </c>
      <c r="T302" s="22">
        <v>103500</v>
      </c>
      <c r="U302" s="261">
        <f t="shared" si="48"/>
        <v>0</v>
      </c>
      <c r="V302" s="283">
        <v>69950</v>
      </c>
      <c r="W302" s="234">
        <f t="shared" si="49"/>
        <v>0</v>
      </c>
      <c r="X302" s="22">
        <v>103500</v>
      </c>
      <c r="Y302" s="261">
        <f t="shared" si="50"/>
        <v>0</v>
      </c>
    </row>
    <row r="303" spans="1:25">
      <c r="A303" s="2"/>
      <c r="B303" s="2">
        <v>299</v>
      </c>
      <c r="C303" s="173" t="s">
        <v>691</v>
      </c>
      <c r="D303" s="234">
        <v>77500</v>
      </c>
      <c r="E303" s="143">
        <v>113571.42857142858</v>
      </c>
      <c r="F303">
        <v>77500</v>
      </c>
      <c r="G303" s="234">
        <f t="shared" si="41"/>
        <v>0</v>
      </c>
      <c r="H303">
        <v>113571.42857142858</v>
      </c>
      <c r="I303" s="261">
        <f t="shared" si="42"/>
        <v>0</v>
      </c>
      <c r="J303">
        <v>77500</v>
      </c>
      <c r="K303" s="234">
        <f t="shared" si="43"/>
        <v>0</v>
      </c>
      <c r="L303" s="143">
        <v>113571.42857142858</v>
      </c>
      <c r="M303" s="261">
        <f t="shared" si="44"/>
        <v>0</v>
      </c>
      <c r="N303" s="234">
        <v>77500</v>
      </c>
      <c r="O303" s="234">
        <f t="shared" si="45"/>
        <v>0</v>
      </c>
      <c r="P303" s="143">
        <v>113571.42857142858</v>
      </c>
      <c r="Q303" s="261">
        <f t="shared" si="46"/>
        <v>0</v>
      </c>
      <c r="R303" s="281">
        <v>77500</v>
      </c>
      <c r="S303" s="234">
        <f t="shared" si="47"/>
        <v>0</v>
      </c>
      <c r="T303" s="22">
        <v>113571.42857142858</v>
      </c>
      <c r="U303" s="261">
        <f t="shared" si="48"/>
        <v>0</v>
      </c>
      <c r="V303" s="281">
        <v>77500</v>
      </c>
      <c r="W303" s="234">
        <f t="shared" si="49"/>
        <v>0</v>
      </c>
      <c r="X303" s="22">
        <v>113571.42857142858</v>
      </c>
      <c r="Y303" s="261">
        <f t="shared" si="50"/>
        <v>0</v>
      </c>
    </row>
    <row r="304" spans="1:25">
      <c r="A304" s="2"/>
      <c r="B304" s="71">
        <v>300</v>
      </c>
      <c r="C304" s="174" t="s">
        <v>692</v>
      </c>
      <c r="D304" s="234">
        <v>70000</v>
      </c>
      <c r="E304" s="143">
        <v>98571.42857142858</v>
      </c>
      <c r="F304">
        <v>70000</v>
      </c>
      <c r="G304" s="234">
        <f t="shared" si="41"/>
        <v>0</v>
      </c>
      <c r="H304">
        <v>98571.42857142858</v>
      </c>
      <c r="I304" s="261">
        <f t="shared" si="42"/>
        <v>0</v>
      </c>
      <c r="J304">
        <v>70000</v>
      </c>
      <c r="K304" s="234">
        <f t="shared" si="43"/>
        <v>0</v>
      </c>
      <c r="L304" s="143">
        <v>98571.42857142858</v>
      </c>
      <c r="M304" s="261">
        <f t="shared" si="44"/>
        <v>0</v>
      </c>
      <c r="N304" s="234">
        <v>70000</v>
      </c>
      <c r="O304" s="234">
        <f t="shared" si="45"/>
        <v>0</v>
      </c>
      <c r="P304" s="143">
        <v>98571.42857142858</v>
      </c>
      <c r="Q304" s="261">
        <f t="shared" si="46"/>
        <v>0</v>
      </c>
      <c r="R304" s="281">
        <v>70000</v>
      </c>
      <c r="S304" s="234">
        <f t="shared" si="47"/>
        <v>0</v>
      </c>
      <c r="T304" s="22">
        <v>98571.42857142858</v>
      </c>
      <c r="U304" s="261">
        <f t="shared" si="48"/>
        <v>0</v>
      </c>
      <c r="V304" s="281">
        <v>70000</v>
      </c>
      <c r="W304" s="234">
        <f t="shared" si="49"/>
        <v>0</v>
      </c>
      <c r="X304" s="22">
        <v>98571.42857142858</v>
      </c>
      <c r="Y304" s="261">
        <f t="shared" si="50"/>
        <v>0</v>
      </c>
    </row>
    <row r="305" spans="1:25">
      <c r="A305" s="2"/>
      <c r="B305" s="71">
        <v>301</v>
      </c>
      <c r="C305" s="52" t="s">
        <v>329</v>
      </c>
      <c r="D305" s="234">
        <v>50950</v>
      </c>
      <c r="E305" s="143">
        <v>71357.142857142855</v>
      </c>
      <c r="F305">
        <v>50950</v>
      </c>
      <c r="G305" s="234">
        <f t="shared" si="41"/>
        <v>0</v>
      </c>
      <c r="H305">
        <v>71357.142857142855</v>
      </c>
      <c r="I305" s="261">
        <f t="shared" si="42"/>
        <v>0</v>
      </c>
      <c r="J305">
        <v>50950</v>
      </c>
      <c r="K305" s="234">
        <f t="shared" si="43"/>
        <v>0</v>
      </c>
      <c r="L305" s="143">
        <v>71357.142857142855</v>
      </c>
      <c r="M305" s="261">
        <f t="shared" si="44"/>
        <v>0</v>
      </c>
      <c r="N305" s="234">
        <v>50950</v>
      </c>
      <c r="O305" s="234">
        <f t="shared" si="45"/>
        <v>0</v>
      </c>
      <c r="P305" s="143">
        <v>71357.142857142855</v>
      </c>
      <c r="Q305" s="261">
        <f t="shared" si="46"/>
        <v>0</v>
      </c>
      <c r="R305" s="283">
        <v>50950</v>
      </c>
      <c r="S305" s="234">
        <f t="shared" si="47"/>
        <v>0</v>
      </c>
      <c r="T305" s="22">
        <v>71357.142857142855</v>
      </c>
      <c r="U305" s="261">
        <f t="shared" si="48"/>
        <v>0</v>
      </c>
      <c r="V305" s="283">
        <v>50950</v>
      </c>
      <c r="W305" s="234">
        <f t="shared" si="49"/>
        <v>0</v>
      </c>
      <c r="X305" s="22">
        <v>71357.142857142855</v>
      </c>
      <c r="Y305" s="261">
        <f t="shared" si="50"/>
        <v>0</v>
      </c>
    </row>
    <row r="306" spans="1:25">
      <c r="A306" s="2"/>
      <c r="B306" s="2">
        <v>302</v>
      </c>
      <c r="C306" s="52" t="s">
        <v>330</v>
      </c>
      <c r="D306" s="234">
        <v>72000</v>
      </c>
      <c r="E306" s="143">
        <v>101428.57142857143</v>
      </c>
      <c r="F306">
        <v>72000</v>
      </c>
      <c r="G306" s="234">
        <f t="shared" si="41"/>
        <v>0</v>
      </c>
      <c r="H306">
        <v>101428.57142857143</v>
      </c>
      <c r="I306" s="261">
        <f t="shared" si="42"/>
        <v>0</v>
      </c>
      <c r="J306">
        <v>72000</v>
      </c>
      <c r="K306" s="234">
        <f t="shared" si="43"/>
        <v>0</v>
      </c>
      <c r="L306" s="143">
        <v>101428.57142857143</v>
      </c>
      <c r="M306" s="261">
        <f t="shared" si="44"/>
        <v>0</v>
      </c>
      <c r="N306" s="234">
        <v>72000</v>
      </c>
      <c r="O306" s="234">
        <f t="shared" si="45"/>
        <v>0</v>
      </c>
      <c r="P306" s="143">
        <v>101428.57142857143</v>
      </c>
      <c r="Q306" s="261">
        <f t="shared" si="46"/>
        <v>0</v>
      </c>
      <c r="R306" s="281">
        <v>72000</v>
      </c>
      <c r="S306" s="234">
        <f t="shared" si="47"/>
        <v>0</v>
      </c>
      <c r="T306" s="22">
        <v>101428.57142857143</v>
      </c>
      <c r="U306" s="261">
        <f t="shared" si="48"/>
        <v>0</v>
      </c>
      <c r="V306" s="281">
        <v>72000</v>
      </c>
      <c r="W306" s="234">
        <f t="shared" si="49"/>
        <v>0</v>
      </c>
      <c r="X306" s="22">
        <v>101428.57142857143</v>
      </c>
      <c r="Y306" s="261">
        <f t="shared" si="50"/>
        <v>0</v>
      </c>
    </row>
    <row r="307" spans="1:25">
      <c r="A307" s="2"/>
      <c r="B307" s="71">
        <v>303</v>
      </c>
      <c r="C307" s="52" t="s">
        <v>331</v>
      </c>
      <c r="D307" s="234">
        <v>69000</v>
      </c>
      <c r="E307" s="143">
        <v>98571.42857142858</v>
      </c>
      <c r="F307">
        <v>69000</v>
      </c>
      <c r="G307" s="234">
        <f t="shared" si="41"/>
        <v>0</v>
      </c>
      <c r="H307">
        <v>97142.857142857145</v>
      </c>
      <c r="I307" s="261">
        <f t="shared" si="42"/>
        <v>-1428.5714285714348</v>
      </c>
      <c r="J307">
        <v>69000</v>
      </c>
      <c r="K307" s="234">
        <f t="shared" si="43"/>
        <v>0</v>
      </c>
      <c r="L307" s="143">
        <v>97142.857142857145</v>
      </c>
      <c r="M307" s="261">
        <f t="shared" si="44"/>
        <v>0</v>
      </c>
      <c r="N307" s="234">
        <v>69000</v>
      </c>
      <c r="O307" s="234">
        <f t="shared" si="45"/>
        <v>0</v>
      </c>
      <c r="P307" s="143">
        <v>97142.857142857145</v>
      </c>
      <c r="Q307" s="261">
        <f t="shared" si="46"/>
        <v>0</v>
      </c>
      <c r="R307" s="281">
        <v>69000</v>
      </c>
      <c r="S307" s="234">
        <f t="shared" si="47"/>
        <v>0</v>
      </c>
      <c r="T307" s="22">
        <v>97142.857142857145</v>
      </c>
      <c r="U307" s="261">
        <f t="shared" si="48"/>
        <v>0</v>
      </c>
      <c r="V307" s="281">
        <v>69000</v>
      </c>
      <c r="W307" s="234">
        <f t="shared" si="49"/>
        <v>0</v>
      </c>
      <c r="X307" s="22">
        <v>97142.857142857145</v>
      </c>
      <c r="Y307" s="261">
        <f t="shared" si="50"/>
        <v>0</v>
      </c>
    </row>
    <row r="308" spans="1:25">
      <c r="A308" s="2"/>
      <c r="B308" s="71">
        <v>304</v>
      </c>
      <c r="C308" s="174" t="s">
        <v>693</v>
      </c>
      <c r="D308" s="234">
        <v>65000</v>
      </c>
      <c r="E308" s="143">
        <v>91428.571428571435</v>
      </c>
      <c r="F308">
        <v>65000</v>
      </c>
      <c r="G308" s="234">
        <f t="shared" si="41"/>
        <v>0</v>
      </c>
      <c r="H308">
        <v>91428.571428571435</v>
      </c>
      <c r="I308" s="261">
        <f t="shared" si="42"/>
        <v>0</v>
      </c>
      <c r="J308">
        <v>65000</v>
      </c>
      <c r="K308" s="234">
        <f t="shared" si="43"/>
        <v>0</v>
      </c>
      <c r="L308" s="143">
        <v>91428.571428571435</v>
      </c>
      <c r="M308" s="261">
        <f t="shared" si="44"/>
        <v>0</v>
      </c>
      <c r="N308" s="234">
        <v>65000</v>
      </c>
      <c r="O308" s="234">
        <f t="shared" si="45"/>
        <v>0</v>
      </c>
      <c r="P308" s="143">
        <v>91428.571428571435</v>
      </c>
      <c r="Q308" s="261">
        <f t="shared" si="46"/>
        <v>0</v>
      </c>
      <c r="R308" s="281">
        <v>65000</v>
      </c>
      <c r="S308" s="234">
        <f t="shared" si="47"/>
        <v>0</v>
      </c>
      <c r="T308" s="22">
        <v>91428.571428571435</v>
      </c>
      <c r="U308" s="261">
        <f t="shared" si="48"/>
        <v>0</v>
      </c>
      <c r="V308" s="281">
        <v>65000</v>
      </c>
      <c r="W308" s="234">
        <f t="shared" si="49"/>
        <v>0</v>
      </c>
      <c r="X308" s="22">
        <v>91428.571428571435</v>
      </c>
      <c r="Y308" s="261">
        <f t="shared" si="50"/>
        <v>0</v>
      </c>
    </row>
    <row r="309" spans="1:25">
      <c r="A309" s="2"/>
      <c r="B309" s="2">
        <v>305</v>
      </c>
      <c r="C309" s="52" t="s">
        <v>332</v>
      </c>
      <c r="D309" s="234">
        <v>66950</v>
      </c>
      <c r="E309" s="143">
        <v>97071.42857142858</v>
      </c>
      <c r="F309">
        <v>66950</v>
      </c>
      <c r="G309" s="234">
        <f t="shared" si="41"/>
        <v>0</v>
      </c>
      <c r="H309">
        <v>97071.42857142858</v>
      </c>
      <c r="I309" s="261">
        <f t="shared" si="42"/>
        <v>0</v>
      </c>
      <c r="J309">
        <v>66950</v>
      </c>
      <c r="K309" s="234">
        <f t="shared" si="43"/>
        <v>0</v>
      </c>
      <c r="L309" s="143">
        <v>97071.42857142858</v>
      </c>
      <c r="M309" s="261">
        <f t="shared" si="44"/>
        <v>0</v>
      </c>
      <c r="N309" s="234">
        <v>66950</v>
      </c>
      <c r="O309" s="234">
        <f t="shared" si="45"/>
        <v>0</v>
      </c>
      <c r="P309" s="143">
        <v>97071.42857142858</v>
      </c>
      <c r="Q309" s="261">
        <f t="shared" si="46"/>
        <v>0</v>
      </c>
      <c r="R309" s="281">
        <v>66950</v>
      </c>
      <c r="S309" s="234">
        <f t="shared" si="47"/>
        <v>0</v>
      </c>
      <c r="T309" s="22">
        <v>97071.42857142858</v>
      </c>
      <c r="U309" s="261">
        <f t="shared" si="48"/>
        <v>0</v>
      </c>
      <c r="V309" s="281">
        <v>66950</v>
      </c>
      <c r="W309" s="234">
        <f t="shared" si="49"/>
        <v>0</v>
      </c>
      <c r="X309" s="22">
        <v>97071.42857142858</v>
      </c>
      <c r="Y309" s="261">
        <f t="shared" si="50"/>
        <v>0</v>
      </c>
    </row>
    <row r="310" spans="1:25">
      <c r="A310" s="2"/>
      <c r="B310" s="71">
        <v>306</v>
      </c>
      <c r="C310" s="52" t="s">
        <v>333</v>
      </c>
      <c r="D310" s="234">
        <v>70000</v>
      </c>
      <c r="E310" s="143">
        <v>98571.42857142858</v>
      </c>
      <c r="F310">
        <v>70000</v>
      </c>
      <c r="G310" s="234">
        <f t="shared" si="41"/>
        <v>0</v>
      </c>
      <c r="H310">
        <v>98571.42857142858</v>
      </c>
      <c r="I310" s="261">
        <f t="shared" si="42"/>
        <v>0</v>
      </c>
      <c r="J310">
        <v>70000</v>
      </c>
      <c r="K310" s="234">
        <f t="shared" si="43"/>
        <v>0</v>
      </c>
      <c r="L310" s="143">
        <v>98571.42857142858</v>
      </c>
      <c r="M310" s="261">
        <f t="shared" si="44"/>
        <v>0</v>
      </c>
      <c r="N310" s="234">
        <v>70000</v>
      </c>
      <c r="O310" s="234">
        <f t="shared" si="45"/>
        <v>0</v>
      </c>
      <c r="P310" s="143">
        <v>98571.42857142858</v>
      </c>
      <c r="Q310" s="261">
        <f t="shared" si="46"/>
        <v>0</v>
      </c>
      <c r="R310" s="281">
        <v>70000</v>
      </c>
      <c r="S310" s="234">
        <f t="shared" si="47"/>
        <v>0</v>
      </c>
      <c r="T310" s="22">
        <v>98571.42857142858</v>
      </c>
      <c r="U310" s="261">
        <f t="shared" si="48"/>
        <v>0</v>
      </c>
      <c r="V310" s="281">
        <v>70000</v>
      </c>
      <c r="W310" s="234">
        <f t="shared" si="49"/>
        <v>0</v>
      </c>
      <c r="X310" s="22">
        <v>98571.42857142858</v>
      </c>
      <c r="Y310" s="261">
        <f t="shared" si="50"/>
        <v>0</v>
      </c>
    </row>
    <row r="311" spans="1:25">
      <c r="A311" s="2"/>
      <c r="B311" s="71">
        <v>307</v>
      </c>
      <c r="C311" s="52" t="s">
        <v>334</v>
      </c>
      <c r="D311" s="234">
        <v>70000</v>
      </c>
      <c r="E311" s="143">
        <v>98571.42857142858</v>
      </c>
      <c r="F311">
        <v>70000</v>
      </c>
      <c r="G311" s="234">
        <f t="shared" si="41"/>
        <v>0</v>
      </c>
      <c r="H311">
        <v>98571.42857142858</v>
      </c>
      <c r="I311" s="261">
        <f t="shared" si="42"/>
        <v>0</v>
      </c>
      <c r="J311">
        <v>70000</v>
      </c>
      <c r="K311" s="234">
        <f t="shared" si="43"/>
        <v>0</v>
      </c>
      <c r="L311" s="143">
        <v>98571.42857142858</v>
      </c>
      <c r="M311" s="261">
        <f t="shared" si="44"/>
        <v>0</v>
      </c>
      <c r="N311" s="234">
        <v>70000</v>
      </c>
      <c r="O311" s="234">
        <f t="shared" si="45"/>
        <v>0</v>
      </c>
      <c r="P311" s="143">
        <v>98571.42857142858</v>
      </c>
      <c r="Q311" s="261">
        <f t="shared" si="46"/>
        <v>0</v>
      </c>
      <c r="R311" s="281">
        <v>70000</v>
      </c>
      <c r="S311" s="234">
        <f t="shared" si="47"/>
        <v>0</v>
      </c>
      <c r="T311" s="22">
        <v>98571.42857142858</v>
      </c>
      <c r="U311" s="261">
        <f t="shared" si="48"/>
        <v>0</v>
      </c>
      <c r="V311" s="281">
        <v>70000</v>
      </c>
      <c r="W311" s="234">
        <f t="shared" si="49"/>
        <v>0</v>
      </c>
      <c r="X311" s="22">
        <v>98571.42857142858</v>
      </c>
      <c r="Y311" s="261">
        <f t="shared" si="50"/>
        <v>0</v>
      </c>
    </row>
    <row r="312" spans="1:25">
      <c r="A312" s="2"/>
      <c r="B312" s="2">
        <v>308</v>
      </c>
      <c r="C312" s="174" t="s">
        <v>694</v>
      </c>
      <c r="D312" s="234">
        <v>56000</v>
      </c>
      <c r="E312" s="143">
        <v>82857.14285714287</v>
      </c>
      <c r="F312">
        <v>56000</v>
      </c>
      <c r="G312" s="234">
        <f t="shared" si="41"/>
        <v>0</v>
      </c>
      <c r="H312">
        <v>80000</v>
      </c>
      <c r="I312" s="261">
        <f t="shared" si="42"/>
        <v>-2857.1428571428696</v>
      </c>
      <c r="J312">
        <v>56000</v>
      </c>
      <c r="K312" s="234">
        <f t="shared" si="43"/>
        <v>0</v>
      </c>
      <c r="L312" s="143">
        <v>80000</v>
      </c>
      <c r="M312" s="261">
        <f t="shared" si="44"/>
        <v>0</v>
      </c>
      <c r="N312" s="234">
        <v>56000</v>
      </c>
      <c r="O312" s="234">
        <f t="shared" si="45"/>
        <v>0</v>
      </c>
      <c r="P312" s="143">
        <v>80000</v>
      </c>
      <c r="Q312" s="261">
        <f t="shared" si="46"/>
        <v>0</v>
      </c>
      <c r="R312" s="281">
        <v>56000</v>
      </c>
      <c r="S312" s="234">
        <f t="shared" si="47"/>
        <v>0</v>
      </c>
      <c r="T312" s="22">
        <v>76428.571428571435</v>
      </c>
      <c r="U312" s="261">
        <f t="shared" si="48"/>
        <v>-3571.4285714285652</v>
      </c>
      <c r="V312" s="281">
        <v>56000</v>
      </c>
      <c r="W312" s="234">
        <f t="shared" si="49"/>
        <v>0</v>
      </c>
      <c r="X312" s="22">
        <v>76428.571428571435</v>
      </c>
      <c r="Y312" s="261">
        <f t="shared" si="50"/>
        <v>0</v>
      </c>
    </row>
    <row r="313" spans="1:25">
      <c r="A313" s="2"/>
      <c r="B313" s="71">
        <v>309</v>
      </c>
      <c r="C313" s="52" t="s">
        <v>335</v>
      </c>
      <c r="D313" s="234">
        <v>73050</v>
      </c>
      <c r="E313" s="143">
        <v>102928.57142857143</v>
      </c>
      <c r="F313">
        <v>73050</v>
      </c>
      <c r="G313" s="234">
        <f t="shared" si="41"/>
        <v>0</v>
      </c>
      <c r="H313">
        <v>102928.57142857143</v>
      </c>
      <c r="I313" s="261">
        <f t="shared" si="42"/>
        <v>0</v>
      </c>
      <c r="J313">
        <v>73050</v>
      </c>
      <c r="K313" s="234">
        <f t="shared" si="43"/>
        <v>0</v>
      </c>
      <c r="L313" s="143">
        <v>102928.57142857143</v>
      </c>
      <c r="M313" s="261">
        <f t="shared" si="44"/>
        <v>0</v>
      </c>
      <c r="N313" s="234">
        <v>73050</v>
      </c>
      <c r="O313" s="234">
        <f t="shared" si="45"/>
        <v>0</v>
      </c>
      <c r="P313" s="143">
        <v>102928.57142857143</v>
      </c>
      <c r="Q313" s="261">
        <f t="shared" si="46"/>
        <v>0</v>
      </c>
      <c r="R313" s="281">
        <v>73050</v>
      </c>
      <c r="S313" s="234">
        <f t="shared" si="47"/>
        <v>0</v>
      </c>
      <c r="T313" s="22">
        <v>102928.57142857143</v>
      </c>
      <c r="U313" s="261">
        <f t="shared" si="48"/>
        <v>0</v>
      </c>
      <c r="V313" s="281">
        <v>73050</v>
      </c>
      <c r="W313" s="234">
        <f t="shared" si="49"/>
        <v>0</v>
      </c>
      <c r="X313" s="22">
        <v>102928.57142857143</v>
      </c>
      <c r="Y313" s="261">
        <f t="shared" si="50"/>
        <v>0</v>
      </c>
    </row>
    <row r="314" spans="1:25">
      <c r="A314" s="2"/>
      <c r="B314" s="71">
        <v>310</v>
      </c>
      <c r="C314" s="52" t="s">
        <v>336</v>
      </c>
      <c r="D314" s="234">
        <v>75050</v>
      </c>
      <c r="E314" s="143">
        <v>109357.14285714287</v>
      </c>
      <c r="F314">
        <v>75050</v>
      </c>
      <c r="G314" s="234">
        <f t="shared" si="41"/>
        <v>0</v>
      </c>
      <c r="H314">
        <v>109357.14285714287</v>
      </c>
      <c r="I314" s="261">
        <f t="shared" si="42"/>
        <v>0</v>
      </c>
      <c r="J314">
        <v>75050</v>
      </c>
      <c r="K314" s="234">
        <f t="shared" si="43"/>
        <v>0</v>
      </c>
      <c r="L314" s="143">
        <v>109357.14285714287</v>
      </c>
      <c r="M314" s="261">
        <f t="shared" si="44"/>
        <v>0</v>
      </c>
      <c r="N314" s="234">
        <v>75050</v>
      </c>
      <c r="O314" s="234">
        <f t="shared" si="45"/>
        <v>0</v>
      </c>
      <c r="P314" s="143">
        <v>109357.14285714287</v>
      </c>
      <c r="Q314" s="261">
        <f t="shared" si="46"/>
        <v>0</v>
      </c>
      <c r="R314" s="281">
        <v>75050</v>
      </c>
      <c r="S314" s="234">
        <f t="shared" si="47"/>
        <v>0</v>
      </c>
      <c r="T314" s="22">
        <v>109357.14285714287</v>
      </c>
      <c r="U314" s="261">
        <f t="shared" si="48"/>
        <v>0</v>
      </c>
      <c r="V314" s="281">
        <v>75050</v>
      </c>
      <c r="W314" s="234">
        <f t="shared" si="49"/>
        <v>0</v>
      </c>
      <c r="X314" s="22">
        <v>109357.14285714287</v>
      </c>
      <c r="Y314" s="261">
        <f t="shared" si="50"/>
        <v>0</v>
      </c>
    </row>
    <row r="315" spans="1:25">
      <c r="A315" s="2"/>
      <c r="B315" s="2">
        <v>311</v>
      </c>
      <c r="C315" s="52" t="s">
        <v>341</v>
      </c>
      <c r="D315" s="234">
        <v>85000</v>
      </c>
      <c r="E315" s="143">
        <v>120000.00000000001</v>
      </c>
      <c r="F315">
        <v>85000</v>
      </c>
      <c r="G315" s="234">
        <f t="shared" si="41"/>
        <v>0</v>
      </c>
      <c r="H315">
        <v>120000.00000000001</v>
      </c>
      <c r="I315" s="261">
        <f t="shared" si="42"/>
        <v>0</v>
      </c>
      <c r="J315">
        <v>85000</v>
      </c>
      <c r="K315" s="234">
        <f t="shared" si="43"/>
        <v>0</v>
      </c>
      <c r="L315" s="143">
        <v>120000.00000000001</v>
      </c>
      <c r="M315" s="261">
        <f t="shared" si="44"/>
        <v>0</v>
      </c>
      <c r="N315" s="234">
        <v>85000</v>
      </c>
      <c r="O315" s="234">
        <f t="shared" si="45"/>
        <v>0</v>
      </c>
      <c r="P315" s="143">
        <v>120000.00000000001</v>
      </c>
      <c r="Q315" s="261">
        <f t="shared" si="46"/>
        <v>0</v>
      </c>
      <c r="R315" s="281">
        <v>85000</v>
      </c>
      <c r="S315" s="234">
        <f t="shared" si="47"/>
        <v>0</v>
      </c>
      <c r="T315" s="22">
        <v>120000.00000000001</v>
      </c>
      <c r="U315" s="261">
        <f t="shared" si="48"/>
        <v>0</v>
      </c>
      <c r="V315" s="281">
        <v>85000</v>
      </c>
      <c r="W315" s="234">
        <f t="shared" si="49"/>
        <v>0</v>
      </c>
      <c r="X315" s="22">
        <v>120000.00000000001</v>
      </c>
      <c r="Y315" s="261">
        <f t="shared" si="50"/>
        <v>0</v>
      </c>
    </row>
    <row r="316" spans="1:25">
      <c r="A316" s="2"/>
      <c r="B316" s="71">
        <v>312</v>
      </c>
      <c r="C316" s="52" t="s">
        <v>339</v>
      </c>
      <c r="D316" s="234">
        <v>70950</v>
      </c>
      <c r="E316" s="143">
        <v>99928.571428571435</v>
      </c>
      <c r="F316">
        <v>70950</v>
      </c>
      <c r="G316" s="234">
        <f t="shared" si="41"/>
        <v>0</v>
      </c>
      <c r="H316">
        <v>99928.571428571435</v>
      </c>
      <c r="I316" s="261">
        <f t="shared" si="42"/>
        <v>0</v>
      </c>
      <c r="J316">
        <v>70950</v>
      </c>
      <c r="K316" s="234">
        <f t="shared" si="43"/>
        <v>0</v>
      </c>
      <c r="L316" s="143">
        <v>99928.571428571435</v>
      </c>
      <c r="M316" s="261">
        <f t="shared" si="44"/>
        <v>0</v>
      </c>
      <c r="N316" s="234">
        <v>70950</v>
      </c>
      <c r="O316" s="234">
        <f t="shared" si="45"/>
        <v>0</v>
      </c>
      <c r="P316" s="143">
        <v>99928.571428571435</v>
      </c>
      <c r="Q316" s="261">
        <f t="shared" si="46"/>
        <v>0</v>
      </c>
      <c r="R316" s="284">
        <v>70950</v>
      </c>
      <c r="S316" s="234">
        <f t="shared" si="47"/>
        <v>0</v>
      </c>
      <c r="T316" s="22">
        <v>99928.571428571435</v>
      </c>
      <c r="U316" s="261">
        <f t="shared" si="48"/>
        <v>0</v>
      </c>
      <c r="V316" s="284">
        <v>70950</v>
      </c>
      <c r="W316" s="234">
        <f t="shared" si="49"/>
        <v>0</v>
      </c>
      <c r="X316" s="22">
        <v>99928.571428571435</v>
      </c>
      <c r="Y316" s="261">
        <f t="shared" si="50"/>
        <v>0</v>
      </c>
    </row>
    <row r="317" spans="1:25">
      <c r="A317" s="2"/>
      <c r="B317" s="71">
        <v>313</v>
      </c>
      <c r="C317" s="174" t="s">
        <v>695</v>
      </c>
      <c r="D317" s="234">
        <v>68950</v>
      </c>
      <c r="E317" s="143">
        <v>100642.85714285714</v>
      </c>
      <c r="F317">
        <v>68950</v>
      </c>
      <c r="G317" s="234">
        <f t="shared" si="41"/>
        <v>0</v>
      </c>
      <c r="H317">
        <v>98500</v>
      </c>
      <c r="I317" s="261">
        <f t="shared" si="42"/>
        <v>-2142.8571428571449</v>
      </c>
      <c r="J317">
        <v>68950</v>
      </c>
      <c r="K317" s="234">
        <f t="shared" si="43"/>
        <v>0</v>
      </c>
      <c r="L317" s="143">
        <v>98500</v>
      </c>
      <c r="M317" s="261">
        <f t="shared" si="44"/>
        <v>0</v>
      </c>
      <c r="N317" s="234">
        <v>68950</v>
      </c>
      <c r="O317" s="234">
        <f t="shared" si="45"/>
        <v>0</v>
      </c>
      <c r="P317" s="143">
        <v>98500</v>
      </c>
      <c r="Q317" s="261">
        <f t="shared" si="46"/>
        <v>0</v>
      </c>
      <c r="R317" s="281">
        <v>68950</v>
      </c>
      <c r="S317" s="234">
        <f t="shared" si="47"/>
        <v>0</v>
      </c>
      <c r="T317" s="22">
        <v>94214.285714285725</v>
      </c>
      <c r="U317" s="261">
        <f t="shared" si="48"/>
        <v>-4285.7142857142753</v>
      </c>
      <c r="V317" s="281">
        <v>68950</v>
      </c>
      <c r="W317" s="234">
        <f t="shared" si="49"/>
        <v>0</v>
      </c>
      <c r="X317" s="22">
        <v>94214.285714285725</v>
      </c>
      <c r="Y317" s="261">
        <f t="shared" si="50"/>
        <v>0</v>
      </c>
    </row>
    <row r="318" spans="1:25">
      <c r="A318" s="2"/>
      <c r="B318" s="2">
        <v>314</v>
      </c>
      <c r="C318" s="52" t="s">
        <v>338</v>
      </c>
      <c r="D318" s="234">
        <v>69950</v>
      </c>
      <c r="E318" s="143">
        <v>98500</v>
      </c>
      <c r="F318">
        <v>69950</v>
      </c>
      <c r="G318" s="234">
        <f t="shared" si="41"/>
        <v>0</v>
      </c>
      <c r="H318">
        <v>98500</v>
      </c>
      <c r="I318" s="261">
        <f t="shared" si="42"/>
        <v>0</v>
      </c>
      <c r="J318">
        <v>69950</v>
      </c>
      <c r="K318" s="234">
        <f t="shared" si="43"/>
        <v>0</v>
      </c>
      <c r="L318" s="143">
        <v>98500</v>
      </c>
      <c r="M318" s="261">
        <f t="shared" si="44"/>
        <v>0</v>
      </c>
      <c r="N318" s="234">
        <v>69950</v>
      </c>
      <c r="O318" s="234">
        <f t="shared" si="45"/>
        <v>0</v>
      </c>
      <c r="P318" s="143">
        <v>98500</v>
      </c>
      <c r="Q318" s="261">
        <f t="shared" si="46"/>
        <v>0</v>
      </c>
      <c r="R318" s="281">
        <v>69950</v>
      </c>
      <c r="S318" s="234">
        <f t="shared" si="47"/>
        <v>0</v>
      </c>
      <c r="T318" s="22">
        <v>98500</v>
      </c>
      <c r="U318" s="261">
        <f t="shared" si="48"/>
        <v>0</v>
      </c>
      <c r="V318" s="281">
        <v>69950</v>
      </c>
      <c r="W318" s="234">
        <f t="shared" si="49"/>
        <v>0</v>
      </c>
      <c r="X318" s="22">
        <v>98500</v>
      </c>
      <c r="Y318" s="261">
        <f t="shared" si="50"/>
        <v>0</v>
      </c>
    </row>
    <row r="319" spans="1:25">
      <c r="A319" s="2"/>
      <c r="B319" s="71">
        <v>315</v>
      </c>
      <c r="C319" s="52" t="s">
        <v>337</v>
      </c>
      <c r="D319" s="234">
        <v>77550</v>
      </c>
      <c r="E319" s="143">
        <v>109357.14285714287</v>
      </c>
      <c r="F319">
        <v>77550</v>
      </c>
      <c r="G319" s="234">
        <f t="shared" si="41"/>
        <v>0</v>
      </c>
      <c r="H319">
        <v>109357.14285714287</v>
      </c>
      <c r="I319" s="261">
        <f t="shared" si="42"/>
        <v>0</v>
      </c>
      <c r="J319">
        <v>77550</v>
      </c>
      <c r="K319" s="234">
        <f t="shared" si="43"/>
        <v>0</v>
      </c>
      <c r="L319" s="143">
        <v>109357.14285714287</v>
      </c>
      <c r="M319" s="261">
        <f t="shared" si="44"/>
        <v>0</v>
      </c>
      <c r="N319" s="234">
        <v>77550</v>
      </c>
      <c r="O319" s="234">
        <f t="shared" si="45"/>
        <v>0</v>
      </c>
      <c r="P319" s="143">
        <v>109357.14285714287</v>
      </c>
      <c r="Q319" s="261">
        <f t="shared" si="46"/>
        <v>0</v>
      </c>
      <c r="R319" s="281">
        <v>77550</v>
      </c>
      <c r="S319" s="234">
        <f t="shared" si="47"/>
        <v>0</v>
      </c>
      <c r="T319" s="22">
        <v>109357.14285714287</v>
      </c>
      <c r="U319" s="261">
        <f t="shared" si="48"/>
        <v>0</v>
      </c>
      <c r="V319" s="281">
        <v>77550</v>
      </c>
      <c r="W319" s="234">
        <f t="shared" si="49"/>
        <v>0</v>
      </c>
      <c r="X319" s="22">
        <v>109357.14285714287</v>
      </c>
      <c r="Y319" s="261">
        <f t="shared" si="50"/>
        <v>0</v>
      </c>
    </row>
    <row r="320" spans="1:25">
      <c r="A320" s="71" t="s">
        <v>847</v>
      </c>
      <c r="B320" s="71">
        <v>316</v>
      </c>
      <c r="C320" s="236" t="s">
        <v>840</v>
      </c>
      <c r="D320" s="234">
        <v>75000</v>
      </c>
      <c r="E320" s="143">
        <v>105714.28571428572</v>
      </c>
      <c r="F320">
        <v>80000</v>
      </c>
      <c r="G320" s="234">
        <f t="shared" si="41"/>
        <v>5000</v>
      </c>
      <c r="H320">
        <v>112857.14285714287</v>
      </c>
      <c r="I320" s="261">
        <f t="shared" si="42"/>
        <v>7142.8571428571449</v>
      </c>
      <c r="J320">
        <v>80000</v>
      </c>
      <c r="K320" s="234">
        <f t="shared" si="43"/>
        <v>0</v>
      </c>
      <c r="L320" s="143">
        <v>112857.14285714287</v>
      </c>
      <c r="M320" s="261">
        <f t="shared" si="44"/>
        <v>0</v>
      </c>
      <c r="N320" s="234">
        <v>80000</v>
      </c>
      <c r="O320" s="234">
        <f t="shared" si="45"/>
        <v>0</v>
      </c>
      <c r="P320" s="143">
        <v>112857.14285714287</v>
      </c>
      <c r="Q320" s="261">
        <f t="shared" si="46"/>
        <v>0</v>
      </c>
      <c r="R320" s="281">
        <v>80000</v>
      </c>
      <c r="S320" s="234">
        <f t="shared" si="47"/>
        <v>0</v>
      </c>
      <c r="T320" s="22">
        <v>112857.14285714287</v>
      </c>
      <c r="U320" s="261">
        <f t="shared" si="48"/>
        <v>0</v>
      </c>
      <c r="V320" s="281">
        <v>80000</v>
      </c>
      <c r="W320" s="234">
        <f t="shared" si="49"/>
        <v>0</v>
      </c>
      <c r="X320" s="22">
        <v>112857.14285714287</v>
      </c>
      <c r="Y320" s="261">
        <f t="shared" si="50"/>
        <v>0</v>
      </c>
    </row>
    <row r="321" spans="1:25">
      <c r="A321" s="2"/>
      <c r="B321" s="2">
        <v>317</v>
      </c>
      <c r="C321" s="52" t="s">
        <v>340</v>
      </c>
      <c r="D321" s="234">
        <v>83950</v>
      </c>
      <c r="E321" s="143">
        <v>118500.00000000001</v>
      </c>
      <c r="F321">
        <v>83950</v>
      </c>
      <c r="G321" s="234">
        <f t="shared" si="41"/>
        <v>0</v>
      </c>
      <c r="H321">
        <v>124214.28571428572</v>
      </c>
      <c r="I321" s="261">
        <f t="shared" si="42"/>
        <v>5714.2857142857101</v>
      </c>
      <c r="J321">
        <v>83950</v>
      </c>
      <c r="K321" s="234">
        <f t="shared" si="43"/>
        <v>0</v>
      </c>
      <c r="L321" s="143">
        <v>124214.28571428572</v>
      </c>
      <c r="M321" s="261">
        <f t="shared" si="44"/>
        <v>0</v>
      </c>
      <c r="N321" s="234">
        <v>83950</v>
      </c>
      <c r="O321" s="234">
        <f t="shared" si="45"/>
        <v>0</v>
      </c>
      <c r="P321" s="143">
        <v>124214.28571428572</v>
      </c>
      <c r="Q321" s="261">
        <f t="shared" si="46"/>
        <v>0</v>
      </c>
      <c r="R321" s="281">
        <v>83950</v>
      </c>
      <c r="S321" s="234">
        <f t="shared" si="47"/>
        <v>0</v>
      </c>
      <c r="T321" s="22">
        <v>124214.28571428572</v>
      </c>
      <c r="U321" s="261">
        <f t="shared" si="48"/>
        <v>0</v>
      </c>
      <c r="V321" s="281">
        <v>83950</v>
      </c>
      <c r="W321" s="234">
        <f t="shared" si="49"/>
        <v>0</v>
      </c>
      <c r="X321" s="22">
        <v>124214.28571428572</v>
      </c>
      <c r="Y321" s="261">
        <f t="shared" si="50"/>
        <v>0</v>
      </c>
    </row>
    <row r="322" spans="1:25">
      <c r="A322" s="2"/>
      <c r="B322" s="71">
        <v>318</v>
      </c>
      <c r="C322" s="52" t="s">
        <v>342</v>
      </c>
      <c r="D322" s="234">
        <v>81550</v>
      </c>
      <c r="E322" s="143">
        <v>116500.00000000001</v>
      </c>
      <c r="F322">
        <v>81550</v>
      </c>
      <c r="G322" s="234">
        <f t="shared" si="41"/>
        <v>0</v>
      </c>
      <c r="H322">
        <v>115071.42857142858</v>
      </c>
      <c r="I322" s="261">
        <f t="shared" si="42"/>
        <v>-1428.5714285714348</v>
      </c>
      <c r="J322">
        <v>81550</v>
      </c>
      <c r="K322" s="234">
        <f t="shared" si="43"/>
        <v>0</v>
      </c>
      <c r="L322" s="143">
        <v>115071.42857142858</v>
      </c>
      <c r="M322" s="261">
        <f t="shared" si="44"/>
        <v>0</v>
      </c>
      <c r="N322" s="234">
        <v>81550</v>
      </c>
      <c r="O322" s="234">
        <f t="shared" si="45"/>
        <v>0</v>
      </c>
      <c r="P322" s="143">
        <v>115071.42857142858</v>
      </c>
      <c r="Q322" s="261">
        <f t="shared" si="46"/>
        <v>0</v>
      </c>
      <c r="R322" s="281">
        <v>81550</v>
      </c>
      <c r="S322" s="234">
        <f t="shared" si="47"/>
        <v>0</v>
      </c>
      <c r="T322" s="22">
        <v>115071.42857142858</v>
      </c>
      <c r="U322" s="261">
        <f t="shared" si="48"/>
        <v>0</v>
      </c>
      <c r="V322" s="281">
        <v>81550</v>
      </c>
      <c r="W322" s="234">
        <f t="shared" si="49"/>
        <v>0</v>
      </c>
      <c r="X322" s="22">
        <v>115071.42857142858</v>
      </c>
      <c r="Y322" s="261">
        <f t="shared" si="50"/>
        <v>0</v>
      </c>
    </row>
    <row r="323" spans="1:25">
      <c r="A323" s="2"/>
      <c r="B323" s="71">
        <v>319</v>
      </c>
      <c r="C323" s="52" t="s">
        <v>343</v>
      </c>
      <c r="D323" s="234">
        <v>75000</v>
      </c>
      <c r="E323" s="143">
        <v>105714.28571428572</v>
      </c>
      <c r="F323">
        <v>75000</v>
      </c>
      <c r="G323" s="234">
        <f t="shared" si="41"/>
        <v>0</v>
      </c>
      <c r="H323">
        <v>105714.28571428572</v>
      </c>
      <c r="I323" s="261">
        <f t="shared" si="42"/>
        <v>0</v>
      </c>
      <c r="J323">
        <v>75000</v>
      </c>
      <c r="K323" s="234">
        <f t="shared" si="43"/>
        <v>0</v>
      </c>
      <c r="L323" s="143">
        <v>105714.28571428572</v>
      </c>
      <c r="M323" s="261">
        <f t="shared" si="44"/>
        <v>0</v>
      </c>
      <c r="N323" s="234">
        <v>75000</v>
      </c>
      <c r="O323" s="234">
        <f t="shared" si="45"/>
        <v>0</v>
      </c>
      <c r="P323" s="143">
        <v>105714.28571428572</v>
      </c>
      <c r="Q323" s="261">
        <f t="shared" si="46"/>
        <v>0</v>
      </c>
      <c r="R323" s="281">
        <v>75000</v>
      </c>
      <c r="S323" s="234">
        <f t="shared" si="47"/>
        <v>0</v>
      </c>
      <c r="T323" s="22">
        <v>105714.28571428572</v>
      </c>
      <c r="U323" s="261">
        <f t="shared" si="48"/>
        <v>0</v>
      </c>
      <c r="V323" s="281">
        <v>75000</v>
      </c>
      <c r="W323" s="234">
        <f t="shared" si="49"/>
        <v>0</v>
      </c>
      <c r="X323" s="22">
        <v>105714.28571428572</v>
      </c>
      <c r="Y323" s="261">
        <f t="shared" si="50"/>
        <v>0</v>
      </c>
    </row>
    <row r="324" spans="1:25">
      <c r="A324" s="2"/>
      <c r="B324" s="2">
        <v>320</v>
      </c>
      <c r="C324" s="52" t="s">
        <v>344</v>
      </c>
      <c r="D324" s="234">
        <v>54750</v>
      </c>
      <c r="E324" s="143">
        <v>83214.285714285725</v>
      </c>
      <c r="F324">
        <v>54750</v>
      </c>
      <c r="G324" s="234">
        <f t="shared" si="41"/>
        <v>0</v>
      </c>
      <c r="H324">
        <v>76785.71428571429</v>
      </c>
      <c r="I324" s="261">
        <f t="shared" si="42"/>
        <v>-6428.5714285714348</v>
      </c>
      <c r="J324">
        <v>54750</v>
      </c>
      <c r="K324" s="234">
        <f t="shared" si="43"/>
        <v>0</v>
      </c>
      <c r="L324" s="143">
        <v>76785.71428571429</v>
      </c>
      <c r="M324" s="261">
        <f t="shared" si="44"/>
        <v>0</v>
      </c>
      <c r="N324" s="234">
        <v>54750</v>
      </c>
      <c r="O324" s="234">
        <f t="shared" si="45"/>
        <v>0</v>
      </c>
      <c r="P324" s="143">
        <v>76785.71428571429</v>
      </c>
      <c r="Q324" s="261">
        <f t="shared" si="46"/>
        <v>0</v>
      </c>
      <c r="R324" s="281">
        <v>54750</v>
      </c>
      <c r="S324" s="234">
        <f t="shared" si="47"/>
        <v>0</v>
      </c>
      <c r="T324" s="22">
        <v>76785.71428571429</v>
      </c>
      <c r="U324" s="261">
        <f t="shared" si="48"/>
        <v>0</v>
      </c>
      <c r="V324" s="281">
        <v>54750</v>
      </c>
      <c r="W324" s="234">
        <f t="shared" si="49"/>
        <v>0</v>
      </c>
      <c r="X324" s="22">
        <v>76785.71428571429</v>
      </c>
      <c r="Y324" s="261">
        <f t="shared" si="50"/>
        <v>0</v>
      </c>
    </row>
    <row r="325" spans="1:25">
      <c r="A325" s="71" t="s">
        <v>842</v>
      </c>
      <c r="B325" s="71">
        <v>321</v>
      </c>
      <c r="C325" s="236" t="s">
        <v>696</v>
      </c>
      <c r="D325" s="234">
        <v>57500</v>
      </c>
      <c r="E325" s="143">
        <v>87142.857142857145</v>
      </c>
      <c r="F325">
        <v>57500</v>
      </c>
      <c r="G325" s="234">
        <f t="shared" si="41"/>
        <v>0</v>
      </c>
      <c r="H325">
        <v>80714.285714285725</v>
      </c>
      <c r="I325" s="261">
        <f t="shared" si="42"/>
        <v>-6428.5714285714203</v>
      </c>
      <c r="J325">
        <v>57500</v>
      </c>
      <c r="K325" s="234">
        <f t="shared" si="43"/>
        <v>0</v>
      </c>
      <c r="L325" s="143">
        <v>80714.285714285725</v>
      </c>
      <c r="M325" s="261">
        <f t="shared" si="44"/>
        <v>0</v>
      </c>
      <c r="N325" s="234">
        <v>57500</v>
      </c>
      <c r="O325" s="234">
        <f t="shared" si="45"/>
        <v>0</v>
      </c>
      <c r="P325" s="143">
        <v>80714.285714285725</v>
      </c>
      <c r="Q325" s="261">
        <f t="shared" si="46"/>
        <v>0</v>
      </c>
      <c r="R325" s="281">
        <v>57500</v>
      </c>
      <c r="S325" s="234">
        <f t="shared" si="47"/>
        <v>0</v>
      </c>
      <c r="T325" s="22">
        <v>80714.285714285725</v>
      </c>
      <c r="U325" s="261">
        <f t="shared" si="48"/>
        <v>0</v>
      </c>
      <c r="V325" s="281">
        <v>57500</v>
      </c>
      <c r="W325" s="234">
        <f t="shared" si="49"/>
        <v>0</v>
      </c>
      <c r="X325" s="22">
        <v>80714.285714285725</v>
      </c>
      <c r="Y325" s="261">
        <f t="shared" si="50"/>
        <v>0</v>
      </c>
    </row>
    <row r="326" spans="1:25">
      <c r="A326" s="2"/>
      <c r="B326" s="71">
        <v>322</v>
      </c>
      <c r="C326" s="52" t="s">
        <v>345</v>
      </c>
      <c r="D326" s="234">
        <v>53950</v>
      </c>
      <c r="E326" s="143">
        <v>77071.42857142858</v>
      </c>
      <c r="F326">
        <v>53950</v>
      </c>
      <c r="G326" s="234">
        <f t="shared" ref="G326:G389" si="51">F326-D326</f>
        <v>0</v>
      </c>
      <c r="H326">
        <v>75642.857142857145</v>
      </c>
      <c r="I326" s="261">
        <f t="shared" ref="I326:I389" si="52">H326-E326</f>
        <v>-1428.5714285714348</v>
      </c>
      <c r="J326">
        <v>53950</v>
      </c>
      <c r="K326" s="234">
        <f t="shared" ref="K326:K389" si="53">J326-F326</f>
        <v>0</v>
      </c>
      <c r="L326" s="143">
        <v>75642.857142857145</v>
      </c>
      <c r="M326" s="261">
        <f t="shared" ref="M326:M389" si="54">L326-H326</f>
        <v>0</v>
      </c>
      <c r="N326" s="234">
        <v>53950</v>
      </c>
      <c r="O326" s="234">
        <f t="shared" ref="O326:O389" si="55">N326-J326</f>
        <v>0</v>
      </c>
      <c r="P326" s="143">
        <v>75642.857142857145</v>
      </c>
      <c r="Q326" s="261">
        <f t="shared" ref="Q326:Q389" si="56">P326-L326</f>
        <v>0</v>
      </c>
      <c r="R326" s="281">
        <v>53950</v>
      </c>
      <c r="S326" s="234">
        <f t="shared" ref="S326:S389" si="57">R326-N326</f>
        <v>0</v>
      </c>
      <c r="T326" s="22">
        <v>75642.857142857145</v>
      </c>
      <c r="U326" s="261">
        <f t="shared" ref="U326:U389" si="58">T326-P326</f>
        <v>0</v>
      </c>
      <c r="V326" s="281">
        <v>53950</v>
      </c>
      <c r="W326" s="234">
        <f t="shared" ref="W326:W389" si="59">V326-R326</f>
        <v>0</v>
      </c>
      <c r="X326" s="22">
        <v>75642.857142857145</v>
      </c>
      <c r="Y326" s="261">
        <f t="shared" ref="Y326:Y389" si="60">X326-T326</f>
        <v>0</v>
      </c>
    </row>
    <row r="327" spans="1:25">
      <c r="A327" s="2"/>
      <c r="B327" s="2">
        <v>323</v>
      </c>
      <c r="C327" s="52" t="s">
        <v>346</v>
      </c>
      <c r="D327" s="234">
        <v>58950</v>
      </c>
      <c r="E327" s="143">
        <v>84214.285714285725</v>
      </c>
      <c r="F327">
        <v>58950</v>
      </c>
      <c r="G327" s="234">
        <f t="shared" si="51"/>
        <v>0</v>
      </c>
      <c r="H327">
        <v>82785.71428571429</v>
      </c>
      <c r="I327" s="261">
        <f t="shared" si="52"/>
        <v>-1428.5714285714348</v>
      </c>
      <c r="J327">
        <v>58950</v>
      </c>
      <c r="K327" s="234">
        <f t="shared" si="53"/>
        <v>0</v>
      </c>
      <c r="L327" s="143">
        <v>82785.71428571429</v>
      </c>
      <c r="M327" s="261">
        <f t="shared" si="54"/>
        <v>0</v>
      </c>
      <c r="N327" s="234">
        <v>58950</v>
      </c>
      <c r="O327" s="234">
        <f t="shared" si="55"/>
        <v>0</v>
      </c>
      <c r="P327" s="143">
        <v>82785.71428571429</v>
      </c>
      <c r="Q327" s="261">
        <f t="shared" si="56"/>
        <v>0</v>
      </c>
      <c r="R327" s="281">
        <v>58950</v>
      </c>
      <c r="S327" s="234">
        <f t="shared" si="57"/>
        <v>0</v>
      </c>
      <c r="T327" s="22">
        <v>82785.71428571429</v>
      </c>
      <c r="U327" s="261">
        <f t="shared" si="58"/>
        <v>0</v>
      </c>
      <c r="V327" s="281">
        <v>58950</v>
      </c>
      <c r="W327" s="234">
        <f t="shared" si="59"/>
        <v>0</v>
      </c>
      <c r="X327" s="22">
        <v>82785.71428571429</v>
      </c>
      <c r="Y327" s="261">
        <f t="shared" si="60"/>
        <v>0</v>
      </c>
    </row>
    <row r="328" spans="1:25">
      <c r="A328" s="2"/>
      <c r="B328" s="71">
        <v>324</v>
      </c>
      <c r="C328" s="174" t="s">
        <v>697</v>
      </c>
      <c r="D328" s="234">
        <v>42650</v>
      </c>
      <c r="E328" s="143">
        <v>65928.571428571435</v>
      </c>
      <c r="F328">
        <v>42650</v>
      </c>
      <c r="G328" s="234">
        <f t="shared" si="51"/>
        <v>0</v>
      </c>
      <c r="H328">
        <v>64500.000000000007</v>
      </c>
      <c r="I328" s="261">
        <f t="shared" si="52"/>
        <v>-1428.5714285714275</v>
      </c>
      <c r="J328">
        <v>42650</v>
      </c>
      <c r="K328" s="234">
        <f t="shared" si="53"/>
        <v>0</v>
      </c>
      <c r="L328" s="143">
        <v>64500.000000000007</v>
      </c>
      <c r="M328" s="261">
        <f t="shared" si="54"/>
        <v>0</v>
      </c>
      <c r="N328" s="234">
        <v>42650</v>
      </c>
      <c r="O328" s="234">
        <f t="shared" si="55"/>
        <v>0</v>
      </c>
      <c r="P328" s="143">
        <v>64500.000000000007</v>
      </c>
      <c r="Q328" s="261">
        <f t="shared" si="56"/>
        <v>0</v>
      </c>
      <c r="R328" s="281">
        <v>42650</v>
      </c>
      <c r="S328" s="234">
        <f t="shared" si="57"/>
        <v>0</v>
      </c>
      <c r="T328" s="22">
        <v>64500.000000000007</v>
      </c>
      <c r="U328" s="261">
        <f t="shared" si="58"/>
        <v>0</v>
      </c>
      <c r="V328" s="281">
        <v>42650</v>
      </c>
      <c r="W328" s="234">
        <f t="shared" si="59"/>
        <v>0</v>
      </c>
      <c r="X328" s="22">
        <v>64500.000000000007</v>
      </c>
      <c r="Y328" s="261">
        <f t="shared" si="60"/>
        <v>0</v>
      </c>
    </row>
    <row r="329" spans="1:25">
      <c r="A329" s="2"/>
      <c r="B329" s="71">
        <v>325</v>
      </c>
      <c r="C329" s="52" t="s">
        <v>348</v>
      </c>
      <c r="D329" s="234">
        <v>56350</v>
      </c>
      <c r="E329" s="143">
        <v>80500</v>
      </c>
      <c r="F329">
        <v>56350</v>
      </c>
      <c r="G329" s="234">
        <f t="shared" si="51"/>
        <v>0</v>
      </c>
      <c r="H329">
        <v>79071.42857142858</v>
      </c>
      <c r="I329" s="261">
        <f t="shared" si="52"/>
        <v>-1428.5714285714203</v>
      </c>
      <c r="J329">
        <v>56350</v>
      </c>
      <c r="K329" s="234">
        <f t="shared" si="53"/>
        <v>0</v>
      </c>
      <c r="L329" s="143">
        <v>79071.42857142858</v>
      </c>
      <c r="M329" s="261">
        <f t="shared" si="54"/>
        <v>0</v>
      </c>
      <c r="N329" s="234">
        <v>56350</v>
      </c>
      <c r="O329" s="234">
        <f t="shared" si="55"/>
        <v>0</v>
      </c>
      <c r="P329" s="143">
        <v>79071.42857142858</v>
      </c>
      <c r="Q329" s="261">
        <f t="shared" si="56"/>
        <v>0</v>
      </c>
      <c r="R329" s="281">
        <v>56350</v>
      </c>
      <c r="S329" s="234">
        <f t="shared" si="57"/>
        <v>0</v>
      </c>
      <c r="T329" s="22">
        <v>79071.42857142858</v>
      </c>
      <c r="U329" s="261">
        <f t="shared" si="58"/>
        <v>0</v>
      </c>
      <c r="V329" s="281">
        <v>56350</v>
      </c>
      <c r="W329" s="234">
        <f t="shared" si="59"/>
        <v>0</v>
      </c>
      <c r="X329" s="22">
        <v>79071.42857142858</v>
      </c>
      <c r="Y329" s="261">
        <f t="shared" si="60"/>
        <v>0</v>
      </c>
    </row>
    <row r="330" spans="1:25">
      <c r="A330" s="2"/>
      <c r="B330" s="2">
        <v>326</v>
      </c>
      <c r="C330" s="174" t="s">
        <v>698</v>
      </c>
      <c r="D330" s="234">
        <v>37350</v>
      </c>
      <c r="E330" s="143">
        <v>53357.142857142862</v>
      </c>
      <c r="F330">
        <v>37350</v>
      </c>
      <c r="G330" s="234">
        <f t="shared" si="51"/>
        <v>0</v>
      </c>
      <c r="H330">
        <v>56214.285714285717</v>
      </c>
      <c r="I330" s="261">
        <f t="shared" si="52"/>
        <v>2857.1428571428551</v>
      </c>
      <c r="J330">
        <v>37350</v>
      </c>
      <c r="K330" s="234">
        <f t="shared" si="53"/>
        <v>0</v>
      </c>
      <c r="L330" s="143">
        <v>56214.285714285717</v>
      </c>
      <c r="M330" s="261">
        <f t="shared" si="54"/>
        <v>0</v>
      </c>
      <c r="N330" s="234">
        <v>37350</v>
      </c>
      <c r="O330" s="234">
        <f t="shared" si="55"/>
        <v>0</v>
      </c>
      <c r="P330" s="143">
        <v>56214.285714285717</v>
      </c>
      <c r="Q330" s="261">
        <f t="shared" si="56"/>
        <v>0</v>
      </c>
      <c r="R330" s="281">
        <v>37350</v>
      </c>
      <c r="S330" s="234">
        <f t="shared" si="57"/>
        <v>0</v>
      </c>
      <c r="T330" s="22">
        <v>56214.285714285717</v>
      </c>
      <c r="U330" s="261">
        <f t="shared" si="58"/>
        <v>0</v>
      </c>
      <c r="V330" s="281">
        <v>37350</v>
      </c>
      <c r="W330" s="234">
        <f t="shared" si="59"/>
        <v>0</v>
      </c>
      <c r="X330" s="22">
        <v>56214.285714285717</v>
      </c>
      <c r="Y330" s="261">
        <f t="shared" si="60"/>
        <v>0</v>
      </c>
    </row>
    <row r="331" spans="1:25">
      <c r="A331" s="2"/>
      <c r="B331" s="71">
        <v>327</v>
      </c>
      <c r="C331" s="48" t="s">
        <v>350</v>
      </c>
      <c r="D331" s="234">
        <v>69900</v>
      </c>
      <c r="E331" s="143">
        <v>104142.85714285714</v>
      </c>
      <c r="F331">
        <v>69900</v>
      </c>
      <c r="G331" s="234">
        <f t="shared" si="51"/>
        <v>0</v>
      </c>
      <c r="H331">
        <v>107000</v>
      </c>
      <c r="I331" s="261">
        <f t="shared" si="52"/>
        <v>2857.1428571428551</v>
      </c>
      <c r="J331">
        <v>69900</v>
      </c>
      <c r="K331" s="234">
        <f t="shared" si="53"/>
        <v>0</v>
      </c>
      <c r="L331" s="143">
        <v>107000</v>
      </c>
      <c r="M331" s="261">
        <f t="shared" si="54"/>
        <v>0</v>
      </c>
      <c r="N331" s="234">
        <v>69900</v>
      </c>
      <c r="O331" s="234">
        <f t="shared" si="55"/>
        <v>0</v>
      </c>
      <c r="P331" s="143">
        <v>107000</v>
      </c>
      <c r="Q331" s="261">
        <f t="shared" si="56"/>
        <v>0</v>
      </c>
      <c r="R331" s="281">
        <v>69900</v>
      </c>
      <c r="S331" s="234">
        <f t="shared" si="57"/>
        <v>0</v>
      </c>
      <c r="T331" s="22">
        <v>107000</v>
      </c>
      <c r="U331" s="261">
        <f t="shared" si="58"/>
        <v>0</v>
      </c>
      <c r="V331" s="281">
        <v>69900</v>
      </c>
      <c r="W331" s="234">
        <f t="shared" si="59"/>
        <v>0</v>
      </c>
      <c r="X331" s="22">
        <v>107000</v>
      </c>
      <c r="Y331" s="261">
        <f t="shared" si="60"/>
        <v>0</v>
      </c>
    </row>
    <row r="332" spans="1:25">
      <c r="A332" s="71" t="s">
        <v>855</v>
      </c>
      <c r="B332" s="71">
        <v>328</v>
      </c>
      <c r="C332" s="173" t="s">
        <v>699</v>
      </c>
      <c r="D332" s="234">
        <v>72550</v>
      </c>
      <c r="E332" s="143">
        <v>106500</v>
      </c>
      <c r="F332">
        <v>66000</v>
      </c>
      <c r="G332" s="234">
        <f t="shared" si="51"/>
        <v>-6550</v>
      </c>
      <c r="H332">
        <v>97142.857142857145</v>
      </c>
      <c r="I332" s="261">
        <f t="shared" si="52"/>
        <v>-9357.1428571428551</v>
      </c>
      <c r="J332">
        <v>66000</v>
      </c>
      <c r="K332" s="234">
        <f t="shared" si="53"/>
        <v>0</v>
      </c>
      <c r="L332" s="143">
        <v>98571.42857142858</v>
      </c>
      <c r="M332" s="261">
        <f t="shared" si="54"/>
        <v>1428.5714285714348</v>
      </c>
      <c r="N332" s="234">
        <v>66000</v>
      </c>
      <c r="O332" s="234">
        <f t="shared" si="55"/>
        <v>0</v>
      </c>
      <c r="P332" s="143">
        <v>98571.42857142858</v>
      </c>
      <c r="Q332" s="261">
        <f t="shared" si="56"/>
        <v>0</v>
      </c>
      <c r="R332" s="281">
        <v>66000</v>
      </c>
      <c r="S332" s="234">
        <f t="shared" si="57"/>
        <v>0</v>
      </c>
      <c r="T332" s="22">
        <v>98571.42857142858</v>
      </c>
      <c r="U332" s="261">
        <f t="shared" si="58"/>
        <v>0</v>
      </c>
      <c r="V332" s="281">
        <v>66000</v>
      </c>
      <c r="W332" s="234">
        <f t="shared" si="59"/>
        <v>0</v>
      </c>
      <c r="X332" s="22">
        <v>98571.42857142858</v>
      </c>
      <c r="Y332" s="261">
        <f t="shared" si="60"/>
        <v>0</v>
      </c>
    </row>
    <row r="333" spans="1:25">
      <c r="A333" s="2"/>
      <c r="B333" s="2">
        <v>329</v>
      </c>
      <c r="C333" s="48" t="s">
        <v>353</v>
      </c>
      <c r="D333" s="234">
        <v>70000</v>
      </c>
      <c r="E333" s="143">
        <v>104285.71428571429</v>
      </c>
      <c r="F333">
        <v>70000</v>
      </c>
      <c r="G333" s="234">
        <f t="shared" si="51"/>
        <v>0</v>
      </c>
      <c r="H333">
        <v>107142.85714285714</v>
      </c>
      <c r="I333" s="261">
        <f t="shared" si="52"/>
        <v>2857.1428571428551</v>
      </c>
      <c r="J333">
        <v>70000</v>
      </c>
      <c r="K333" s="234">
        <f t="shared" si="53"/>
        <v>0</v>
      </c>
      <c r="L333" s="143">
        <v>107142.85714285714</v>
      </c>
      <c r="M333" s="261">
        <f t="shared" si="54"/>
        <v>0</v>
      </c>
      <c r="N333" s="234">
        <v>70000</v>
      </c>
      <c r="O333" s="234">
        <f t="shared" si="55"/>
        <v>0</v>
      </c>
      <c r="P333" s="143">
        <v>107142.85714285714</v>
      </c>
      <c r="Q333" s="261">
        <f t="shared" si="56"/>
        <v>0</v>
      </c>
      <c r="R333" s="284">
        <v>70000</v>
      </c>
      <c r="S333" s="234">
        <f t="shared" si="57"/>
        <v>0</v>
      </c>
      <c r="T333" s="22">
        <v>107142.85714285714</v>
      </c>
      <c r="U333" s="261">
        <f t="shared" si="58"/>
        <v>0</v>
      </c>
      <c r="V333" s="284">
        <v>70000</v>
      </c>
      <c r="W333" s="234">
        <f t="shared" si="59"/>
        <v>0</v>
      </c>
      <c r="X333" s="22">
        <v>107142.85714285714</v>
      </c>
      <c r="Y333" s="261">
        <f t="shared" si="60"/>
        <v>0</v>
      </c>
    </row>
    <row r="334" spans="1:25">
      <c r="A334" s="2"/>
      <c r="B334" s="71">
        <v>330</v>
      </c>
      <c r="C334" s="48" t="s">
        <v>354</v>
      </c>
      <c r="D334" s="234">
        <v>75000</v>
      </c>
      <c r="E334" s="143">
        <v>111428.57142857143</v>
      </c>
      <c r="F334">
        <v>75000</v>
      </c>
      <c r="G334" s="234">
        <f t="shared" si="51"/>
        <v>0</v>
      </c>
      <c r="H334">
        <v>114285.71428571429</v>
      </c>
      <c r="I334" s="261">
        <f t="shared" si="52"/>
        <v>2857.1428571428551</v>
      </c>
      <c r="J334">
        <v>75000</v>
      </c>
      <c r="K334" s="234">
        <f t="shared" si="53"/>
        <v>0</v>
      </c>
      <c r="L334" s="143">
        <v>114285.71428571429</v>
      </c>
      <c r="M334" s="261">
        <f t="shared" si="54"/>
        <v>0</v>
      </c>
      <c r="N334" s="234">
        <v>75000</v>
      </c>
      <c r="O334" s="234">
        <f t="shared" si="55"/>
        <v>0</v>
      </c>
      <c r="P334" s="143">
        <v>114285.71428571429</v>
      </c>
      <c r="Q334" s="261">
        <f t="shared" si="56"/>
        <v>0</v>
      </c>
      <c r="R334" s="281">
        <v>75000</v>
      </c>
      <c r="S334" s="234">
        <f t="shared" si="57"/>
        <v>0</v>
      </c>
      <c r="T334" s="22">
        <v>114285.71428571429</v>
      </c>
      <c r="U334" s="261">
        <f t="shared" si="58"/>
        <v>0</v>
      </c>
      <c r="V334" s="281">
        <v>75000</v>
      </c>
      <c r="W334" s="234">
        <f t="shared" si="59"/>
        <v>0</v>
      </c>
      <c r="X334" s="22">
        <v>114285.71428571429</v>
      </c>
      <c r="Y334" s="261">
        <f t="shared" si="60"/>
        <v>0</v>
      </c>
    </row>
    <row r="335" spans="1:25">
      <c r="A335" s="2"/>
      <c r="B335" s="71">
        <v>331</v>
      </c>
      <c r="C335" s="173" t="s">
        <v>700</v>
      </c>
      <c r="D335" s="234">
        <v>81800</v>
      </c>
      <c r="E335" s="143">
        <v>121142.85714285714</v>
      </c>
      <c r="F335">
        <v>81800</v>
      </c>
      <c r="G335" s="234">
        <f t="shared" si="51"/>
        <v>0</v>
      </c>
      <c r="H335">
        <v>121142.85714285714</v>
      </c>
      <c r="I335" s="261">
        <f t="shared" si="52"/>
        <v>0</v>
      </c>
      <c r="J335">
        <v>81800</v>
      </c>
      <c r="K335" s="234">
        <f t="shared" si="53"/>
        <v>0</v>
      </c>
      <c r="L335" s="143">
        <v>121142.85714285714</v>
      </c>
      <c r="M335" s="261">
        <f t="shared" si="54"/>
        <v>0</v>
      </c>
      <c r="N335" s="234">
        <v>81800</v>
      </c>
      <c r="O335" s="234">
        <f t="shared" si="55"/>
        <v>0</v>
      </c>
      <c r="P335" s="143">
        <v>121142.85714285714</v>
      </c>
      <c r="Q335" s="261">
        <f t="shared" si="56"/>
        <v>0</v>
      </c>
      <c r="R335" s="281">
        <v>81800</v>
      </c>
      <c r="S335" s="234">
        <f t="shared" si="57"/>
        <v>0</v>
      </c>
      <c r="T335" s="22">
        <v>121142.85714285714</v>
      </c>
      <c r="U335" s="261">
        <f t="shared" si="58"/>
        <v>0</v>
      </c>
      <c r="V335" s="281">
        <v>81800</v>
      </c>
      <c r="W335" s="234">
        <f t="shared" si="59"/>
        <v>0</v>
      </c>
      <c r="X335" s="22">
        <v>121142.85714285714</v>
      </c>
      <c r="Y335" s="261">
        <f t="shared" si="60"/>
        <v>0</v>
      </c>
    </row>
    <row r="336" spans="1:25">
      <c r="A336" s="2"/>
      <c r="B336" s="2">
        <v>332</v>
      </c>
      <c r="C336" s="48" t="s">
        <v>355</v>
      </c>
      <c r="D336" s="234">
        <v>80200</v>
      </c>
      <c r="E336" s="143">
        <v>118857.14285714287</v>
      </c>
      <c r="F336">
        <v>80200</v>
      </c>
      <c r="G336" s="234">
        <f t="shared" si="51"/>
        <v>0</v>
      </c>
      <c r="H336">
        <v>121714.28571428572</v>
      </c>
      <c r="I336" s="261">
        <f t="shared" si="52"/>
        <v>2857.1428571428551</v>
      </c>
      <c r="J336">
        <v>80200</v>
      </c>
      <c r="K336" s="234">
        <f t="shared" si="53"/>
        <v>0</v>
      </c>
      <c r="L336" s="143">
        <v>121714.28571428572</v>
      </c>
      <c r="M336" s="261">
        <f t="shared" si="54"/>
        <v>0</v>
      </c>
      <c r="N336" s="234">
        <v>80200</v>
      </c>
      <c r="O336" s="234">
        <f t="shared" si="55"/>
        <v>0</v>
      </c>
      <c r="P336" s="143">
        <v>121714.28571428572</v>
      </c>
      <c r="Q336" s="261">
        <f t="shared" si="56"/>
        <v>0</v>
      </c>
      <c r="R336" s="284">
        <v>80200</v>
      </c>
      <c r="S336" s="234">
        <f t="shared" si="57"/>
        <v>0</v>
      </c>
      <c r="T336" s="22">
        <v>121714.28571428572</v>
      </c>
      <c r="U336" s="261">
        <f t="shared" si="58"/>
        <v>0</v>
      </c>
      <c r="V336" s="284">
        <v>80200</v>
      </c>
      <c r="W336" s="234">
        <f t="shared" si="59"/>
        <v>0</v>
      </c>
      <c r="X336" s="22">
        <v>121714.28571428572</v>
      </c>
      <c r="Y336" s="261">
        <f t="shared" si="60"/>
        <v>0</v>
      </c>
    </row>
    <row r="337" spans="1:25">
      <c r="A337" s="2"/>
      <c r="B337" s="71">
        <v>333</v>
      </c>
      <c r="C337" s="48" t="s">
        <v>356</v>
      </c>
      <c r="D337" s="234">
        <v>74200</v>
      </c>
      <c r="E337" s="143">
        <v>108857.14285714287</v>
      </c>
      <c r="F337">
        <v>74200</v>
      </c>
      <c r="G337" s="234">
        <f t="shared" si="51"/>
        <v>0</v>
      </c>
      <c r="H337">
        <v>110285.71428571429</v>
      </c>
      <c r="I337" s="261">
        <f t="shared" si="52"/>
        <v>1428.5714285714203</v>
      </c>
      <c r="J337">
        <v>74200</v>
      </c>
      <c r="K337" s="234">
        <f t="shared" si="53"/>
        <v>0</v>
      </c>
      <c r="L337" s="143">
        <v>110285.71428571429</v>
      </c>
      <c r="M337" s="261">
        <f t="shared" si="54"/>
        <v>0</v>
      </c>
      <c r="N337" s="234">
        <v>74200</v>
      </c>
      <c r="O337" s="234">
        <f t="shared" si="55"/>
        <v>0</v>
      </c>
      <c r="P337" s="143">
        <v>111714.28571428572</v>
      </c>
      <c r="Q337" s="261">
        <f t="shared" si="56"/>
        <v>1428.5714285714348</v>
      </c>
      <c r="R337" s="281">
        <v>74200</v>
      </c>
      <c r="S337" s="234">
        <f t="shared" si="57"/>
        <v>0</v>
      </c>
      <c r="T337" s="22">
        <v>111714.28571428572</v>
      </c>
      <c r="U337" s="261">
        <f t="shared" si="58"/>
        <v>0</v>
      </c>
      <c r="V337" s="281">
        <v>74200</v>
      </c>
      <c r="W337" s="234">
        <f t="shared" si="59"/>
        <v>0</v>
      </c>
      <c r="X337" s="22">
        <v>111714.28571428572</v>
      </c>
      <c r="Y337" s="261">
        <f t="shared" si="60"/>
        <v>0</v>
      </c>
    </row>
    <row r="338" spans="1:25">
      <c r="A338" s="2"/>
      <c r="B338" s="71">
        <v>334</v>
      </c>
      <c r="C338" s="173" t="s">
        <v>701</v>
      </c>
      <c r="D338" s="234">
        <v>77400</v>
      </c>
      <c r="E338" s="143">
        <v>113428.57142857143</v>
      </c>
      <c r="F338">
        <v>77400</v>
      </c>
      <c r="G338" s="234">
        <f t="shared" si="51"/>
        <v>0</v>
      </c>
      <c r="H338">
        <v>114857.14285714287</v>
      </c>
      <c r="I338" s="261">
        <f t="shared" si="52"/>
        <v>1428.5714285714348</v>
      </c>
      <c r="J338">
        <v>77400</v>
      </c>
      <c r="K338" s="234">
        <f t="shared" si="53"/>
        <v>0</v>
      </c>
      <c r="L338" s="143">
        <v>114857.14285714287</v>
      </c>
      <c r="M338" s="261">
        <f t="shared" si="54"/>
        <v>0</v>
      </c>
      <c r="N338" s="234">
        <v>77400</v>
      </c>
      <c r="O338" s="234">
        <f t="shared" si="55"/>
        <v>0</v>
      </c>
      <c r="P338" s="143">
        <v>116285.71428571429</v>
      </c>
      <c r="Q338" s="261">
        <f t="shared" si="56"/>
        <v>1428.5714285714203</v>
      </c>
      <c r="R338" s="281">
        <v>77400</v>
      </c>
      <c r="S338" s="234">
        <f t="shared" si="57"/>
        <v>0</v>
      </c>
      <c r="T338" s="22">
        <v>116285.71428571429</v>
      </c>
      <c r="U338" s="261">
        <f t="shared" si="58"/>
        <v>0</v>
      </c>
      <c r="V338" s="281">
        <v>77400</v>
      </c>
      <c r="W338" s="234">
        <f t="shared" si="59"/>
        <v>0</v>
      </c>
      <c r="X338" s="22">
        <v>116285.71428571429</v>
      </c>
      <c r="Y338" s="261">
        <f t="shared" si="60"/>
        <v>0</v>
      </c>
    </row>
    <row r="339" spans="1:25">
      <c r="A339" s="2"/>
      <c r="B339" s="2">
        <v>335</v>
      </c>
      <c r="C339" s="48" t="s">
        <v>358</v>
      </c>
      <c r="D339" s="234">
        <v>72400</v>
      </c>
      <c r="E339" s="143">
        <v>107714.28571428572</v>
      </c>
      <c r="F339">
        <v>72400</v>
      </c>
      <c r="G339" s="234">
        <f t="shared" si="51"/>
        <v>0</v>
      </c>
      <c r="H339">
        <v>110571.42857142858</v>
      </c>
      <c r="I339" s="261">
        <f t="shared" si="52"/>
        <v>2857.1428571428551</v>
      </c>
      <c r="J339">
        <v>72400</v>
      </c>
      <c r="K339" s="234">
        <f t="shared" si="53"/>
        <v>0</v>
      </c>
      <c r="L339" s="143">
        <v>110571.42857142858</v>
      </c>
      <c r="M339" s="261">
        <f t="shared" si="54"/>
        <v>0</v>
      </c>
      <c r="N339" s="234">
        <v>72400</v>
      </c>
      <c r="O339" s="234">
        <f t="shared" si="55"/>
        <v>0</v>
      </c>
      <c r="P339" s="143">
        <v>110571.42857142858</v>
      </c>
      <c r="Q339" s="261">
        <f t="shared" si="56"/>
        <v>0</v>
      </c>
      <c r="R339" s="281">
        <v>72400</v>
      </c>
      <c r="S339" s="234">
        <f t="shared" si="57"/>
        <v>0</v>
      </c>
      <c r="T339" s="22">
        <v>110571.42857142858</v>
      </c>
      <c r="U339" s="261">
        <f t="shared" si="58"/>
        <v>0</v>
      </c>
      <c r="V339" s="281">
        <v>72400</v>
      </c>
      <c r="W339" s="234">
        <f t="shared" si="59"/>
        <v>0</v>
      </c>
      <c r="X339" s="22">
        <v>110571.42857142858</v>
      </c>
      <c r="Y339" s="261">
        <f t="shared" si="60"/>
        <v>0</v>
      </c>
    </row>
    <row r="340" spans="1:25">
      <c r="A340" s="2"/>
      <c r="B340" s="71">
        <v>336</v>
      </c>
      <c r="C340" s="173" t="s">
        <v>702</v>
      </c>
      <c r="D340" s="234">
        <v>68100</v>
      </c>
      <c r="E340" s="143">
        <v>100142.85714285714</v>
      </c>
      <c r="F340">
        <v>68100</v>
      </c>
      <c r="G340" s="234">
        <f t="shared" si="51"/>
        <v>0</v>
      </c>
      <c r="H340">
        <v>101571.42857142858</v>
      </c>
      <c r="I340" s="261">
        <f t="shared" si="52"/>
        <v>1428.5714285714348</v>
      </c>
      <c r="J340">
        <v>68100</v>
      </c>
      <c r="K340" s="234">
        <f t="shared" si="53"/>
        <v>0</v>
      </c>
      <c r="L340" s="143">
        <v>101571.42857142858</v>
      </c>
      <c r="M340" s="261">
        <f t="shared" si="54"/>
        <v>0</v>
      </c>
      <c r="N340" s="234">
        <v>68100</v>
      </c>
      <c r="O340" s="234">
        <f t="shared" si="55"/>
        <v>0</v>
      </c>
      <c r="P340" s="143">
        <v>103000</v>
      </c>
      <c r="Q340" s="261">
        <f t="shared" si="56"/>
        <v>1428.5714285714203</v>
      </c>
      <c r="R340" s="281">
        <v>68100</v>
      </c>
      <c r="S340" s="234">
        <f t="shared" si="57"/>
        <v>0</v>
      </c>
      <c r="T340" s="22">
        <v>96571.42857142858</v>
      </c>
      <c r="U340" s="261">
        <f t="shared" si="58"/>
        <v>-6428.5714285714203</v>
      </c>
      <c r="V340" s="281">
        <v>68100</v>
      </c>
      <c r="W340" s="234">
        <f t="shared" si="59"/>
        <v>0</v>
      </c>
      <c r="X340" s="22">
        <v>95857.14285714287</v>
      </c>
      <c r="Y340" s="261">
        <f t="shared" si="60"/>
        <v>-714.28571428571013</v>
      </c>
    </row>
    <row r="341" spans="1:25">
      <c r="A341" s="2"/>
      <c r="B341" s="71">
        <v>337</v>
      </c>
      <c r="C341" s="48" t="s">
        <v>360</v>
      </c>
      <c r="D341" s="234">
        <v>72200</v>
      </c>
      <c r="E341" s="143">
        <v>107428.57142857143</v>
      </c>
      <c r="F341">
        <v>72200</v>
      </c>
      <c r="G341" s="234">
        <f t="shared" si="51"/>
        <v>0</v>
      </c>
      <c r="H341">
        <v>110285.71428571429</v>
      </c>
      <c r="I341" s="261">
        <f t="shared" si="52"/>
        <v>2857.1428571428551</v>
      </c>
      <c r="J341">
        <v>72200</v>
      </c>
      <c r="K341" s="234">
        <f t="shared" si="53"/>
        <v>0</v>
      </c>
      <c r="L341" s="143">
        <v>110285.71428571429</v>
      </c>
      <c r="M341" s="261">
        <f t="shared" si="54"/>
        <v>0</v>
      </c>
      <c r="N341" s="234">
        <v>72200</v>
      </c>
      <c r="O341" s="234">
        <f t="shared" si="55"/>
        <v>0</v>
      </c>
      <c r="P341" s="143">
        <v>110285.71428571429</v>
      </c>
      <c r="Q341" s="261">
        <f t="shared" si="56"/>
        <v>0</v>
      </c>
      <c r="R341" s="281">
        <v>72200</v>
      </c>
      <c r="S341" s="234">
        <f t="shared" si="57"/>
        <v>0</v>
      </c>
      <c r="T341" s="22">
        <v>110285.71428571429</v>
      </c>
      <c r="U341" s="261">
        <f t="shared" si="58"/>
        <v>0</v>
      </c>
      <c r="V341" s="281">
        <v>72200</v>
      </c>
      <c r="W341" s="234">
        <f t="shared" si="59"/>
        <v>0</v>
      </c>
      <c r="X341" s="22">
        <v>110285.71428571429</v>
      </c>
      <c r="Y341" s="261">
        <f t="shared" si="60"/>
        <v>0</v>
      </c>
    </row>
    <row r="342" spans="1:25">
      <c r="A342" s="2"/>
      <c r="B342" s="2">
        <v>338</v>
      </c>
      <c r="C342" s="48" t="s">
        <v>359</v>
      </c>
      <c r="D342" s="234">
        <v>60000</v>
      </c>
      <c r="E342" s="143">
        <v>90000</v>
      </c>
      <c r="F342">
        <v>60000</v>
      </c>
      <c r="G342" s="234">
        <f t="shared" si="51"/>
        <v>0</v>
      </c>
      <c r="H342">
        <v>92857.14285714287</v>
      </c>
      <c r="I342" s="261">
        <f t="shared" si="52"/>
        <v>2857.1428571428696</v>
      </c>
      <c r="J342">
        <v>60000</v>
      </c>
      <c r="K342" s="234">
        <f t="shared" si="53"/>
        <v>0</v>
      </c>
      <c r="L342" s="143">
        <v>92857.14285714287</v>
      </c>
      <c r="M342" s="261">
        <f t="shared" si="54"/>
        <v>0</v>
      </c>
      <c r="N342" s="234">
        <v>60000</v>
      </c>
      <c r="O342" s="234">
        <f t="shared" si="55"/>
        <v>0</v>
      </c>
      <c r="P342" s="143">
        <v>92857.14285714287</v>
      </c>
      <c r="Q342" s="261">
        <f t="shared" si="56"/>
        <v>0</v>
      </c>
      <c r="R342" s="283">
        <v>60000</v>
      </c>
      <c r="S342" s="234">
        <f t="shared" si="57"/>
        <v>0</v>
      </c>
      <c r="T342" s="22">
        <v>92857.14285714287</v>
      </c>
      <c r="U342" s="261">
        <f t="shared" si="58"/>
        <v>0</v>
      </c>
      <c r="V342" s="283">
        <v>60000</v>
      </c>
      <c r="W342" s="234">
        <f t="shared" si="59"/>
        <v>0</v>
      </c>
      <c r="X342" s="22">
        <v>92857.14285714287</v>
      </c>
      <c r="Y342" s="261">
        <f t="shared" si="60"/>
        <v>0</v>
      </c>
    </row>
    <row r="343" spans="1:25">
      <c r="A343" s="2"/>
      <c r="B343" s="71">
        <v>339</v>
      </c>
      <c r="C343" s="173" t="s">
        <v>703</v>
      </c>
      <c r="D343" s="234">
        <v>77500</v>
      </c>
      <c r="E343" s="143">
        <v>115714.28571428572</v>
      </c>
      <c r="F343">
        <v>77500</v>
      </c>
      <c r="G343" s="234">
        <f t="shared" si="51"/>
        <v>0</v>
      </c>
      <c r="H343">
        <v>115714.28571428572</v>
      </c>
      <c r="I343" s="261">
        <f t="shared" si="52"/>
        <v>0</v>
      </c>
      <c r="J343">
        <v>77500</v>
      </c>
      <c r="K343" s="234">
        <f t="shared" si="53"/>
        <v>0</v>
      </c>
      <c r="L343" s="143">
        <v>115714.28571428572</v>
      </c>
      <c r="M343" s="261">
        <f t="shared" si="54"/>
        <v>0</v>
      </c>
      <c r="N343" s="234">
        <v>77500</v>
      </c>
      <c r="O343" s="234">
        <f t="shared" si="55"/>
        <v>0</v>
      </c>
      <c r="P343" s="143">
        <v>115000.00000000001</v>
      </c>
      <c r="Q343" s="261">
        <f t="shared" si="56"/>
        <v>-714.28571428571013</v>
      </c>
      <c r="R343" s="281">
        <v>77500</v>
      </c>
      <c r="S343" s="234">
        <f t="shared" si="57"/>
        <v>0</v>
      </c>
      <c r="T343" s="22">
        <v>115000.00000000001</v>
      </c>
      <c r="U343" s="261">
        <f t="shared" si="58"/>
        <v>0</v>
      </c>
      <c r="V343" s="281">
        <v>77500</v>
      </c>
      <c r="W343" s="234">
        <f t="shared" si="59"/>
        <v>0</v>
      </c>
      <c r="X343" s="22">
        <v>115000.00000000001</v>
      </c>
      <c r="Y343" s="261">
        <f t="shared" si="60"/>
        <v>0</v>
      </c>
    </row>
    <row r="344" spans="1:25">
      <c r="A344" s="2"/>
      <c r="B344" s="71">
        <v>340</v>
      </c>
      <c r="C344" s="48" t="s">
        <v>361</v>
      </c>
      <c r="D344" s="234">
        <v>66050</v>
      </c>
      <c r="E344" s="143">
        <v>98642.857142857145</v>
      </c>
      <c r="F344">
        <v>66050</v>
      </c>
      <c r="G344" s="234">
        <f t="shared" si="51"/>
        <v>0</v>
      </c>
      <c r="H344">
        <v>101500</v>
      </c>
      <c r="I344" s="261">
        <f t="shared" si="52"/>
        <v>2857.1428571428551</v>
      </c>
      <c r="J344">
        <v>66050</v>
      </c>
      <c r="K344" s="234">
        <f t="shared" si="53"/>
        <v>0</v>
      </c>
      <c r="L344" s="143">
        <v>101500</v>
      </c>
      <c r="M344" s="261">
        <f t="shared" si="54"/>
        <v>0</v>
      </c>
      <c r="N344" s="234">
        <v>66050</v>
      </c>
      <c r="O344" s="234">
        <f t="shared" si="55"/>
        <v>0</v>
      </c>
      <c r="P344" s="143">
        <v>101500</v>
      </c>
      <c r="Q344" s="261">
        <f t="shared" si="56"/>
        <v>0</v>
      </c>
      <c r="R344" s="281">
        <v>66050</v>
      </c>
      <c r="S344" s="234">
        <f t="shared" si="57"/>
        <v>0</v>
      </c>
      <c r="T344" s="22">
        <v>101500</v>
      </c>
      <c r="U344" s="261">
        <f t="shared" si="58"/>
        <v>0</v>
      </c>
      <c r="V344" s="281">
        <v>66050</v>
      </c>
      <c r="W344" s="234">
        <f t="shared" si="59"/>
        <v>0</v>
      </c>
      <c r="X344" s="22">
        <v>101500</v>
      </c>
      <c r="Y344" s="261">
        <f t="shared" si="60"/>
        <v>0</v>
      </c>
    </row>
    <row r="345" spans="1:25">
      <c r="A345" s="2"/>
      <c r="B345" s="2">
        <v>341</v>
      </c>
      <c r="C345" s="48" t="s">
        <v>362</v>
      </c>
      <c r="D345" s="234">
        <v>90050</v>
      </c>
      <c r="E345" s="143">
        <v>132928.57142857145</v>
      </c>
      <c r="F345">
        <v>90050</v>
      </c>
      <c r="G345" s="234">
        <f t="shared" si="51"/>
        <v>0</v>
      </c>
      <c r="H345">
        <v>135785.71428571429</v>
      </c>
      <c r="I345" s="261">
        <f t="shared" si="52"/>
        <v>2857.1428571428405</v>
      </c>
      <c r="J345">
        <v>90050</v>
      </c>
      <c r="K345" s="234">
        <f t="shared" si="53"/>
        <v>0</v>
      </c>
      <c r="L345" s="143">
        <v>135785.71428571429</v>
      </c>
      <c r="M345" s="261">
        <f t="shared" si="54"/>
        <v>0</v>
      </c>
      <c r="N345" s="234">
        <v>90050</v>
      </c>
      <c r="O345" s="234">
        <f t="shared" si="55"/>
        <v>0</v>
      </c>
      <c r="P345" s="143">
        <v>135785.71428571429</v>
      </c>
      <c r="Q345" s="261">
        <f t="shared" si="56"/>
        <v>0</v>
      </c>
      <c r="R345" s="281">
        <v>90050</v>
      </c>
      <c r="S345" s="234">
        <f t="shared" si="57"/>
        <v>0</v>
      </c>
      <c r="T345" s="22">
        <v>135785.71428571429</v>
      </c>
      <c r="U345" s="261">
        <f t="shared" si="58"/>
        <v>0</v>
      </c>
      <c r="V345" s="281">
        <v>90050</v>
      </c>
      <c r="W345" s="234">
        <f t="shared" si="59"/>
        <v>0</v>
      </c>
      <c r="X345" s="22">
        <v>135785.71428571429</v>
      </c>
      <c r="Y345" s="261">
        <f t="shared" si="60"/>
        <v>0</v>
      </c>
    </row>
    <row r="346" spans="1:25">
      <c r="A346" s="2"/>
      <c r="B346" s="71">
        <v>342</v>
      </c>
      <c r="C346" s="173" t="s">
        <v>704</v>
      </c>
      <c r="D346" s="234">
        <v>71050</v>
      </c>
      <c r="E346" s="143">
        <v>102928.57142857143</v>
      </c>
      <c r="F346">
        <v>71050</v>
      </c>
      <c r="G346" s="234">
        <f t="shared" si="51"/>
        <v>0</v>
      </c>
      <c r="H346">
        <v>104357.14285714287</v>
      </c>
      <c r="I346" s="261">
        <f t="shared" si="52"/>
        <v>1428.5714285714348</v>
      </c>
      <c r="J346">
        <v>71050</v>
      </c>
      <c r="K346" s="234">
        <f t="shared" si="53"/>
        <v>0</v>
      </c>
      <c r="L346" s="143">
        <v>104357.14285714287</v>
      </c>
      <c r="M346" s="261">
        <f t="shared" si="54"/>
        <v>0</v>
      </c>
      <c r="N346" s="234">
        <v>71050</v>
      </c>
      <c r="O346" s="234">
        <f t="shared" si="55"/>
        <v>0</v>
      </c>
      <c r="P346" s="143">
        <v>104357.14285714287</v>
      </c>
      <c r="Q346" s="261">
        <f t="shared" si="56"/>
        <v>0</v>
      </c>
      <c r="R346" s="281">
        <v>71050</v>
      </c>
      <c r="S346" s="234">
        <f t="shared" si="57"/>
        <v>0</v>
      </c>
      <c r="T346" s="22">
        <v>104357.14285714287</v>
      </c>
      <c r="U346" s="261">
        <f t="shared" si="58"/>
        <v>0</v>
      </c>
      <c r="V346" s="281">
        <v>71050</v>
      </c>
      <c r="W346" s="234">
        <f t="shared" si="59"/>
        <v>0</v>
      </c>
      <c r="X346" s="22">
        <v>104357.14285714287</v>
      </c>
      <c r="Y346" s="261">
        <f t="shared" si="60"/>
        <v>0</v>
      </c>
    </row>
    <row r="347" spans="1:25">
      <c r="A347" s="2"/>
      <c r="B347" s="71">
        <v>343</v>
      </c>
      <c r="C347" s="48" t="s">
        <v>363</v>
      </c>
      <c r="D347" s="234">
        <v>65000</v>
      </c>
      <c r="E347" s="143">
        <v>97142.857142857145</v>
      </c>
      <c r="F347">
        <v>65000</v>
      </c>
      <c r="G347" s="234">
        <f t="shared" si="51"/>
        <v>0</v>
      </c>
      <c r="H347">
        <v>100000</v>
      </c>
      <c r="I347" s="261">
        <f t="shared" si="52"/>
        <v>2857.1428571428551</v>
      </c>
      <c r="J347">
        <v>65000</v>
      </c>
      <c r="K347" s="234">
        <f t="shared" si="53"/>
        <v>0</v>
      </c>
      <c r="L347" s="143">
        <v>100000</v>
      </c>
      <c r="M347" s="261">
        <f t="shared" si="54"/>
        <v>0</v>
      </c>
      <c r="N347" s="234">
        <v>65000</v>
      </c>
      <c r="O347" s="234">
        <f t="shared" si="55"/>
        <v>0</v>
      </c>
      <c r="P347" s="143">
        <v>100000</v>
      </c>
      <c r="Q347" s="261">
        <f t="shared" si="56"/>
        <v>0</v>
      </c>
      <c r="R347" s="281">
        <v>65000</v>
      </c>
      <c r="S347" s="234">
        <f t="shared" si="57"/>
        <v>0</v>
      </c>
      <c r="T347" s="22">
        <v>100000</v>
      </c>
      <c r="U347" s="261">
        <f t="shared" si="58"/>
        <v>0</v>
      </c>
      <c r="V347" s="281">
        <v>65000</v>
      </c>
      <c r="W347" s="234">
        <f t="shared" si="59"/>
        <v>0</v>
      </c>
      <c r="X347" s="22">
        <v>100000</v>
      </c>
      <c r="Y347" s="261">
        <f t="shared" si="60"/>
        <v>0</v>
      </c>
    </row>
    <row r="348" spans="1:25">
      <c r="A348" s="2"/>
      <c r="B348" s="2">
        <v>344</v>
      </c>
      <c r="C348" s="48" t="s">
        <v>364</v>
      </c>
      <c r="D348" s="234">
        <v>74700</v>
      </c>
      <c r="E348" s="143">
        <v>111000</v>
      </c>
      <c r="F348">
        <v>74700</v>
      </c>
      <c r="G348" s="234">
        <f t="shared" si="51"/>
        <v>0</v>
      </c>
      <c r="H348">
        <v>113857.14285714287</v>
      </c>
      <c r="I348" s="261">
        <f t="shared" si="52"/>
        <v>2857.1428571428696</v>
      </c>
      <c r="J348">
        <v>74700</v>
      </c>
      <c r="K348" s="234">
        <f t="shared" si="53"/>
        <v>0</v>
      </c>
      <c r="L348" s="143">
        <v>113857.14285714287</v>
      </c>
      <c r="M348" s="261">
        <f t="shared" si="54"/>
        <v>0</v>
      </c>
      <c r="N348" s="234">
        <v>74700</v>
      </c>
      <c r="O348" s="234">
        <f t="shared" si="55"/>
        <v>0</v>
      </c>
      <c r="P348" s="143">
        <v>113857.14285714287</v>
      </c>
      <c r="Q348" s="261">
        <f t="shared" si="56"/>
        <v>0</v>
      </c>
      <c r="R348" s="281">
        <v>74700</v>
      </c>
      <c r="S348" s="234">
        <f t="shared" si="57"/>
        <v>0</v>
      </c>
      <c r="T348" s="22">
        <v>113857.14285714287</v>
      </c>
      <c r="U348" s="261">
        <f t="shared" si="58"/>
        <v>0</v>
      </c>
      <c r="V348" s="281">
        <v>74700</v>
      </c>
      <c r="W348" s="234">
        <f t="shared" si="59"/>
        <v>0</v>
      </c>
      <c r="X348" s="22">
        <v>113857.14285714287</v>
      </c>
      <c r="Y348" s="261">
        <f t="shared" si="60"/>
        <v>0</v>
      </c>
    </row>
    <row r="349" spans="1:25">
      <c r="A349" s="2"/>
      <c r="B349" s="71">
        <v>345</v>
      </c>
      <c r="C349" s="48" t="s">
        <v>365</v>
      </c>
      <c r="D349" s="234">
        <v>70250</v>
      </c>
      <c r="E349" s="143">
        <v>103214.28571428572</v>
      </c>
      <c r="F349">
        <v>70250</v>
      </c>
      <c r="G349" s="234">
        <f t="shared" si="51"/>
        <v>0</v>
      </c>
      <c r="H349">
        <v>104642.85714285714</v>
      </c>
      <c r="I349" s="261">
        <f t="shared" si="52"/>
        <v>1428.5714285714203</v>
      </c>
      <c r="J349">
        <v>70250</v>
      </c>
      <c r="K349" s="234">
        <f t="shared" si="53"/>
        <v>0</v>
      </c>
      <c r="L349" s="143">
        <v>104642.85714285714</v>
      </c>
      <c r="M349" s="261">
        <f t="shared" si="54"/>
        <v>0</v>
      </c>
      <c r="N349" s="234">
        <v>70250</v>
      </c>
      <c r="O349" s="234">
        <f t="shared" si="55"/>
        <v>0</v>
      </c>
      <c r="P349" s="143">
        <v>106071.42857142858</v>
      </c>
      <c r="Q349" s="261">
        <f t="shared" si="56"/>
        <v>1428.5714285714348</v>
      </c>
      <c r="R349" s="281">
        <v>70250</v>
      </c>
      <c r="S349" s="234">
        <f t="shared" si="57"/>
        <v>0</v>
      </c>
      <c r="T349" s="22">
        <v>106071.42857142858</v>
      </c>
      <c r="U349" s="261">
        <f t="shared" si="58"/>
        <v>0</v>
      </c>
      <c r="V349" s="281">
        <v>70250</v>
      </c>
      <c r="W349" s="234">
        <f t="shared" si="59"/>
        <v>0</v>
      </c>
      <c r="X349" s="22">
        <v>106071.42857142858</v>
      </c>
      <c r="Y349" s="261">
        <f t="shared" si="60"/>
        <v>0</v>
      </c>
    </row>
    <row r="350" spans="1:25">
      <c r="A350" s="2"/>
      <c r="B350" s="71">
        <v>346</v>
      </c>
      <c r="C350" s="48" t="s">
        <v>366</v>
      </c>
      <c r="D350" s="234">
        <v>57200</v>
      </c>
      <c r="E350" s="143">
        <v>86000</v>
      </c>
      <c r="F350">
        <v>57200</v>
      </c>
      <c r="G350" s="234">
        <f t="shared" si="51"/>
        <v>0</v>
      </c>
      <c r="H350">
        <v>88857.14285714287</v>
      </c>
      <c r="I350" s="261">
        <f t="shared" si="52"/>
        <v>2857.1428571428696</v>
      </c>
      <c r="J350">
        <v>57200</v>
      </c>
      <c r="K350" s="234">
        <f t="shared" si="53"/>
        <v>0</v>
      </c>
      <c r="L350" s="143">
        <v>88857.14285714287</v>
      </c>
      <c r="M350" s="261">
        <f t="shared" si="54"/>
        <v>0</v>
      </c>
      <c r="N350" s="234">
        <v>57200</v>
      </c>
      <c r="O350" s="234">
        <f t="shared" si="55"/>
        <v>0</v>
      </c>
      <c r="P350" s="143">
        <v>88857.14285714287</v>
      </c>
      <c r="Q350" s="261">
        <f t="shared" si="56"/>
        <v>0</v>
      </c>
      <c r="R350" s="281">
        <v>57200</v>
      </c>
      <c r="S350" s="234">
        <f t="shared" si="57"/>
        <v>0</v>
      </c>
      <c r="T350" s="22">
        <v>88857.14285714287</v>
      </c>
      <c r="U350" s="261">
        <f t="shared" si="58"/>
        <v>0</v>
      </c>
      <c r="V350" s="281">
        <v>57200</v>
      </c>
      <c r="W350" s="234">
        <f t="shared" si="59"/>
        <v>0</v>
      </c>
      <c r="X350" s="22">
        <v>88857.14285714287</v>
      </c>
      <c r="Y350" s="261">
        <f t="shared" si="60"/>
        <v>0</v>
      </c>
    </row>
    <row r="351" spans="1:25">
      <c r="A351" s="2"/>
      <c r="B351" s="2">
        <v>347</v>
      </c>
      <c r="C351" s="48" t="s">
        <v>367</v>
      </c>
      <c r="D351" s="234">
        <v>75000</v>
      </c>
      <c r="E351" s="143">
        <v>111428.57142857143</v>
      </c>
      <c r="F351">
        <v>75000</v>
      </c>
      <c r="G351" s="234">
        <f t="shared" si="51"/>
        <v>0</v>
      </c>
      <c r="H351">
        <v>114285.71428571429</v>
      </c>
      <c r="I351" s="261">
        <f t="shared" si="52"/>
        <v>2857.1428571428551</v>
      </c>
      <c r="J351">
        <v>75000</v>
      </c>
      <c r="K351" s="234">
        <f t="shared" si="53"/>
        <v>0</v>
      </c>
      <c r="L351" s="143">
        <v>114285.71428571429</v>
      </c>
      <c r="M351" s="261">
        <f t="shared" si="54"/>
        <v>0</v>
      </c>
      <c r="N351" s="234">
        <v>75000</v>
      </c>
      <c r="O351" s="234">
        <f t="shared" si="55"/>
        <v>0</v>
      </c>
      <c r="P351" s="143">
        <v>114285.71428571429</v>
      </c>
      <c r="Q351" s="261">
        <f t="shared" si="56"/>
        <v>0</v>
      </c>
      <c r="R351" s="281">
        <v>75000</v>
      </c>
      <c r="S351" s="234">
        <f t="shared" si="57"/>
        <v>0</v>
      </c>
      <c r="T351" s="22">
        <v>114285.71428571429</v>
      </c>
      <c r="U351" s="261">
        <f t="shared" si="58"/>
        <v>0</v>
      </c>
      <c r="V351" s="281">
        <v>75000</v>
      </c>
      <c r="W351" s="234">
        <f t="shared" si="59"/>
        <v>0</v>
      </c>
      <c r="X351" s="22">
        <v>114285.71428571429</v>
      </c>
      <c r="Y351" s="261">
        <f t="shared" si="60"/>
        <v>0</v>
      </c>
    </row>
    <row r="352" spans="1:25">
      <c r="A352" s="2"/>
      <c r="B352" s="71">
        <v>348</v>
      </c>
      <c r="C352" s="48" t="s">
        <v>368</v>
      </c>
      <c r="D352" s="234">
        <v>75000</v>
      </c>
      <c r="E352" s="143">
        <v>111428.57142857143</v>
      </c>
      <c r="F352">
        <v>75000</v>
      </c>
      <c r="G352" s="234">
        <f t="shared" si="51"/>
        <v>0</v>
      </c>
      <c r="H352">
        <v>114285.71428571429</v>
      </c>
      <c r="I352" s="261">
        <f t="shared" si="52"/>
        <v>2857.1428571428551</v>
      </c>
      <c r="J352">
        <v>75000</v>
      </c>
      <c r="K352" s="234">
        <f t="shared" si="53"/>
        <v>0</v>
      </c>
      <c r="L352" s="143">
        <v>114285.71428571429</v>
      </c>
      <c r="M352" s="261">
        <f t="shared" si="54"/>
        <v>0</v>
      </c>
      <c r="N352" s="234">
        <v>75000</v>
      </c>
      <c r="O352" s="234">
        <f t="shared" si="55"/>
        <v>0</v>
      </c>
      <c r="P352" s="143">
        <v>114285.71428571429</v>
      </c>
      <c r="Q352" s="261">
        <f t="shared" si="56"/>
        <v>0</v>
      </c>
      <c r="R352" s="281">
        <v>75000</v>
      </c>
      <c r="S352" s="234">
        <f t="shared" si="57"/>
        <v>0</v>
      </c>
      <c r="T352" s="22">
        <v>114285.71428571429</v>
      </c>
      <c r="U352" s="261">
        <f t="shared" si="58"/>
        <v>0</v>
      </c>
      <c r="V352" s="281">
        <v>75000</v>
      </c>
      <c r="W352" s="234">
        <f t="shared" si="59"/>
        <v>0</v>
      </c>
      <c r="X352" s="22">
        <v>114285.71428571429</v>
      </c>
      <c r="Y352" s="261">
        <f t="shared" si="60"/>
        <v>0</v>
      </c>
    </row>
    <row r="353" spans="1:25">
      <c r="A353" s="2"/>
      <c r="B353" s="71">
        <v>349</v>
      </c>
      <c r="C353" s="48" t="s">
        <v>369</v>
      </c>
      <c r="D353" s="234">
        <v>65000</v>
      </c>
      <c r="E353" s="143">
        <v>97142.857142857145</v>
      </c>
      <c r="F353">
        <v>65000</v>
      </c>
      <c r="G353" s="234">
        <f t="shared" si="51"/>
        <v>0</v>
      </c>
      <c r="H353">
        <v>100000</v>
      </c>
      <c r="I353" s="261">
        <f t="shared" si="52"/>
        <v>2857.1428571428551</v>
      </c>
      <c r="J353">
        <v>65000</v>
      </c>
      <c r="K353" s="234">
        <f t="shared" si="53"/>
        <v>0</v>
      </c>
      <c r="L353" s="143">
        <v>100000</v>
      </c>
      <c r="M353" s="261">
        <f t="shared" si="54"/>
        <v>0</v>
      </c>
      <c r="N353" s="234">
        <v>65000</v>
      </c>
      <c r="O353" s="234">
        <f t="shared" si="55"/>
        <v>0</v>
      </c>
      <c r="P353" s="143">
        <v>100000</v>
      </c>
      <c r="Q353" s="261">
        <f t="shared" si="56"/>
        <v>0</v>
      </c>
      <c r="R353" s="281">
        <v>65000</v>
      </c>
      <c r="S353" s="234">
        <f t="shared" si="57"/>
        <v>0</v>
      </c>
      <c r="T353" s="22">
        <v>100000</v>
      </c>
      <c r="U353" s="261">
        <f t="shared" si="58"/>
        <v>0</v>
      </c>
      <c r="V353" s="281">
        <v>65000</v>
      </c>
      <c r="W353" s="234">
        <f t="shared" si="59"/>
        <v>0</v>
      </c>
      <c r="X353" s="22">
        <v>100000</v>
      </c>
      <c r="Y353" s="261">
        <f t="shared" si="60"/>
        <v>0</v>
      </c>
    </row>
    <row r="354" spans="1:25">
      <c r="A354" s="2"/>
      <c r="B354" s="2">
        <v>350</v>
      </c>
      <c r="C354" s="48" t="s">
        <v>370</v>
      </c>
      <c r="D354" s="234">
        <v>68200</v>
      </c>
      <c r="E354" s="143">
        <v>101714.28571428572</v>
      </c>
      <c r="F354">
        <v>68200</v>
      </c>
      <c r="G354" s="234">
        <f t="shared" si="51"/>
        <v>0</v>
      </c>
      <c r="H354">
        <v>104571.42857142858</v>
      </c>
      <c r="I354" s="261">
        <f t="shared" si="52"/>
        <v>2857.1428571428551</v>
      </c>
      <c r="J354">
        <v>68200</v>
      </c>
      <c r="K354" s="234">
        <f t="shared" si="53"/>
        <v>0</v>
      </c>
      <c r="L354" s="143">
        <v>104571.42857142858</v>
      </c>
      <c r="M354" s="261">
        <f t="shared" si="54"/>
        <v>0</v>
      </c>
      <c r="N354" s="234">
        <v>68200</v>
      </c>
      <c r="O354" s="234">
        <f t="shared" si="55"/>
        <v>0</v>
      </c>
      <c r="P354" s="143">
        <v>104571.42857142858</v>
      </c>
      <c r="Q354" s="261">
        <f t="shared" si="56"/>
        <v>0</v>
      </c>
      <c r="R354" s="281">
        <v>68200</v>
      </c>
      <c r="S354" s="234">
        <f t="shared" si="57"/>
        <v>0</v>
      </c>
      <c r="T354" s="22">
        <v>104571.42857142858</v>
      </c>
      <c r="U354" s="261">
        <f t="shared" si="58"/>
        <v>0</v>
      </c>
      <c r="V354" s="281">
        <v>68200</v>
      </c>
      <c r="W354" s="234">
        <f t="shared" si="59"/>
        <v>0</v>
      </c>
      <c r="X354" s="22">
        <v>104571.42857142858</v>
      </c>
      <c r="Y354" s="261">
        <f t="shared" si="60"/>
        <v>0</v>
      </c>
    </row>
    <row r="355" spans="1:25">
      <c r="A355" s="2"/>
      <c r="B355" s="71">
        <v>351</v>
      </c>
      <c r="C355" s="48" t="s">
        <v>371</v>
      </c>
      <c r="D355" s="234">
        <v>55450</v>
      </c>
      <c r="E355" s="143">
        <v>83500</v>
      </c>
      <c r="F355">
        <v>55450</v>
      </c>
      <c r="G355" s="234">
        <f t="shared" si="51"/>
        <v>0</v>
      </c>
      <c r="H355">
        <v>86357.14285714287</v>
      </c>
      <c r="I355" s="261">
        <f t="shared" si="52"/>
        <v>2857.1428571428696</v>
      </c>
      <c r="J355">
        <v>55450</v>
      </c>
      <c r="K355" s="234">
        <f t="shared" si="53"/>
        <v>0</v>
      </c>
      <c r="L355" s="143">
        <v>86357.14285714287</v>
      </c>
      <c r="M355" s="261">
        <f t="shared" si="54"/>
        <v>0</v>
      </c>
      <c r="N355" s="234">
        <v>55450</v>
      </c>
      <c r="O355" s="234">
        <f t="shared" si="55"/>
        <v>0</v>
      </c>
      <c r="P355" s="143">
        <v>86357.14285714287</v>
      </c>
      <c r="Q355" s="261">
        <f t="shared" si="56"/>
        <v>0</v>
      </c>
      <c r="R355" s="281">
        <v>55450</v>
      </c>
      <c r="S355" s="234">
        <f t="shared" si="57"/>
        <v>0</v>
      </c>
      <c r="T355" s="22">
        <v>86357.14285714287</v>
      </c>
      <c r="U355" s="261">
        <f t="shared" si="58"/>
        <v>0</v>
      </c>
      <c r="V355" s="281">
        <v>55450</v>
      </c>
      <c r="W355" s="234">
        <f t="shared" si="59"/>
        <v>0</v>
      </c>
      <c r="X355" s="22">
        <v>86357.14285714287</v>
      </c>
      <c r="Y355" s="261">
        <f t="shared" si="60"/>
        <v>0</v>
      </c>
    </row>
    <row r="356" spans="1:25">
      <c r="A356" s="2"/>
      <c r="B356" s="71">
        <v>352</v>
      </c>
      <c r="C356" s="48" t="s">
        <v>372</v>
      </c>
      <c r="D356" s="234">
        <v>55450</v>
      </c>
      <c r="E356" s="143">
        <v>83500</v>
      </c>
      <c r="F356">
        <v>55450</v>
      </c>
      <c r="G356" s="234">
        <f t="shared" si="51"/>
        <v>0</v>
      </c>
      <c r="H356">
        <v>86357.14285714287</v>
      </c>
      <c r="I356" s="261">
        <f t="shared" si="52"/>
        <v>2857.1428571428696</v>
      </c>
      <c r="J356">
        <v>55450</v>
      </c>
      <c r="K356" s="234">
        <f t="shared" si="53"/>
        <v>0</v>
      </c>
      <c r="L356" s="143">
        <v>86357.14285714287</v>
      </c>
      <c r="M356" s="261">
        <f t="shared" si="54"/>
        <v>0</v>
      </c>
      <c r="N356" s="234">
        <v>55450</v>
      </c>
      <c r="O356" s="234">
        <f t="shared" si="55"/>
        <v>0</v>
      </c>
      <c r="P356" s="143">
        <v>86357.14285714287</v>
      </c>
      <c r="Q356" s="261">
        <f t="shared" si="56"/>
        <v>0</v>
      </c>
      <c r="R356" s="281">
        <v>55450</v>
      </c>
      <c r="S356" s="234">
        <f t="shared" si="57"/>
        <v>0</v>
      </c>
      <c r="T356" s="22">
        <v>86357.14285714287</v>
      </c>
      <c r="U356" s="261">
        <f t="shared" si="58"/>
        <v>0</v>
      </c>
      <c r="V356" s="281">
        <v>55450</v>
      </c>
      <c r="W356" s="234">
        <f t="shared" si="59"/>
        <v>0</v>
      </c>
      <c r="X356" s="22">
        <v>86357.14285714287</v>
      </c>
      <c r="Y356" s="261">
        <f t="shared" si="60"/>
        <v>0</v>
      </c>
    </row>
    <row r="357" spans="1:25">
      <c r="A357" s="71" t="s">
        <v>842</v>
      </c>
      <c r="B357" s="2">
        <v>353</v>
      </c>
      <c r="C357" s="236" t="s">
        <v>705</v>
      </c>
      <c r="D357" s="234">
        <v>62500</v>
      </c>
      <c r="E357" s="143">
        <v>93571.42857142858</v>
      </c>
      <c r="F357">
        <v>62500</v>
      </c>
      <c r="G357" s="234">
        <f t="shared" si="51"/>
        <v>0</v>
      </c>
      <c r="H357">
        <v>96428.571428571435</v>
      </c>
      <c r="I357" s="261">
        <f t="shared" si="52"/>
        <v>2857.1428571428551</v>
      </c>
      <c r="J357">
        <v>62500</v>
      </c>
      <c r="K357" s="234">
        <f t="shared" si="53"/>
        <v>0</v>
      </c>
      <c r="L357" s="143">
        <v>96428.571428571435</v>
      </c>
      <c r="M357" s="261">
        <f t="shared" si="54"/>
        <v>0</v>
      </c>
      <c r="N357" s="234">
        <v>62500</v>
      </c>
      <c r="O357" s="234">
        <f t="shared" si="55"/>
        <v>0</v>
      </c>
      <c r="P357" s="143">
        <v>96428.571428571435</v>
      </c>
      <c r="Q357" s="261">
        <f t="shared" si="56"/>
        <v>0</v>
      </c>
      <c r="R357" s="281">
        <v>62500</v>
      </c>
      <c r="S357" s="234">
        <f t="shared" si="57"/>
        <v>0</v>
      </c>
      <c r="T357" s="22">
        <v>96428.571428571435</v>
      </c>
      <c r="U357" s="261">
        <f t="shared" si="58"/>
        <v>0</v>
      </c>
      <c r="V357" s="281">
        <v>62500</v>
      </c>
      <c r="W357" s="234">
        <f t="shared" si="59"/>
        <v>0</v>
      </c>
      <c r="X357" s="22">
        <v>96428.571428571435</v>
      </c>
      <c r="Y357" s="261">
        <f t="shared" si="60"/>
        <v>0</v>
      </c>
    </row>
    <row r="358" spans="1:25">
      <c r="A358" s="2"/>
      <c r="B358" s="71">
        <v>354</v>
      </c>
      <c r="C358" s="174" t="s">
        <v>706</v>
      </c>
      <c r="D358" s="234">
        <v>59000</v>
      </c>
      <c r="E358" s="143">
        <v>88571.42857142858</v>
      </c>
      <c r="F358">
        <v>59000</v>
      </c>
      <c r="G358" s="234">
        <f t="shared" si="51"/>
        <v>0</v>
      </c>
      <c r="H358">
        <v>88571.42857142858</v>
      </c>
      <c r="I358" s="261">
        <f t="shared" si="52"/>
        <v>0</v>
      </c>
      <c r="J358">
        <v>59000</v>
      </c>
      <c r="K358" s="234">
        <f t="shared" si="53"/>
        <v>0</v>
      </c>
      <c r="L358" s="143">
        <v>88571.42857142858</v>
      </c>
      <c r="M358" s="261">
        <f t="shared" si="54"/>
        <v>0</v>
      </c>
      <c r="N358" s="234">
        <v>59000</v>
      </c>
      <c r="O358" s="234">
        <f t="shared" si="55"/>
        <v>0</v>
      </c>
      <c r="P358" s="143">
        <v>88571.42857142858</v>
      </c>
      <c r="Q358" s="261">
        <f t="shared" si="56"/>
        <v>0</v>
      </c>
      <c r="R358" s="281">
        <v>59000</v>
      </c>
      <c r="S358" s="234">
        <f t="shared" si="57"/>
        <v>0</v>
      </c>
      <c r="T358" s="22">
        <v>87857.14285714287</v>
      </c>
      <c r="U358" s="261">
        <f t="shared" si="58"/>
        <v>-714.28571428571013</v>
      </c>
      <c r="V358" s="281">
        <v>59000</v>
      </c>
      <c r="W358" s="234">
        <f t="shared" si="59"/>
        <v>0</v>
      </c>
      <c r="X358" s="22">
        <v>87857.14285714287</v>
      </c>
      <c r="Y358" s="261">
        <f t="shared" si="60"/>
        <v>0</v>
      </c>
    </row>
    <row r="359" spans="1:25">
      <c r="A359" s="2"/>
      <c r="B359" s="71">
        <v>355</v>
      </c>
      <c r="C359" s="174" t="s">
        <v>707</v>
      </c>
      <c r="D359" s="234">
        <v>26550</v>
      </c>
      <c r="E359" s="143">
        <v>42214.285714285717</v>
      </c>
      <c r="F359">
        <v>26550</v>
      </c>
      <c r="G359" s="234">
        <f t="shared" si="51"/>
        <v>0</v>
      </c>
      <c r="H359">
        <v>42214.285714285717</v>
      </c>
      <c r="I359" s="261">
        <f t="shared" si="52"/>
        <v>0</v>
      </c>
      <c r="J359">
        <v>26550</v>
      </c>
      <c r="K359" s="234">
        <f t="shared" si="53"/>
        <v>0</v>
      </c>
      <c r="L359" s="143">
        <v>42214.285714285717</v>
      </c>
      <c r="M359" s="261">
        <f t="shared" si="54"/>
        <v>0</v>
      </c>
      <c r="N359" s="234">
        <v>26550</v>
      </c>
      <c r="O359" s="234">
        <f t="shared" si="55"/>
        <v>0</v>
      </c>
      <c r="P359" s="143">
        <v>42214.285714285717</v>
      </c>
      <c r="Q359" s="261">
        <f t="shared" si="56"/>
        <v>0</v>
      </c>
      <c r="R359" s="281">
        <v>26550</v>
      </c>
      <c r="S359" s="234">
        <f t="shared" si="57"/>
        <v>0</v>
      </c>
      <c r="T359" s="22">
        <v>42214.285714285717</v>
      </c>
      <c r="U359" s="261">
        <f t="shared" si="58"/>
        <v>0</v>
      </c>
      <c r="V359" s="281">
        <v>26550</v>
      </c>
      <c r="W359" s="234">
        <f t="shared" si="59"/>
        <v>0</v>
      </c>
      <c r="X359" s="22">
        <v>42214.285714285717</v>
      </c>
      <c r="Y359" s="261">
        <f t="shared" si="60"/>
        <v>0</v>
      </c>
    </row>
    <row r="360" spans="1:25">
      <c r="A360" s="2"/>
      <c r="B360" s="2">
        <v>356</v>
      </c>
      <c r="C360" s="52" t="s">
        <v>375</v>
      </c>
      <c r="D360" s="234">
        <v>54350</v>
      </c>
      <c r="E360" s="143">
        <v>81928.571428571435</v>
      </c>
      <c r="F360">
        <v>54350</v>
      </c>
      <c r="G360" s="234">
        <f t="shared" si="51"/>
        <v>0</v>
      </c>
      <c r="H360">
        <v>81928.571428571435</v>
      </c>
      <c r="I360" s="261">
        <f t="shared" si="52"/>
        <v>0</v>
      </c>
      <c r="J360">
        <v>54350</v>
      </c>
      <c r="K360" s="234">
        <f t="shared" si="53"/>
        <v>0</v>
      </c>
      <c r="L360" s="143">
        <v>81928.571428571435</v>
      </c>
      <c r="M360" s="261">
        <f t="shared" si="54"/>
        <v>0</v>
      </c>
      <c r="N360" s="234">
        <v>54350</v>
      </c>
      <c r="O360" s="234">
        <f t="shared" si="55"/>
        <v>0</v>
      </c>
      <c r="P360" s="143">
        <v>81928.571428571435</v>
      </c>
      <c r="Q360" s="261">
        <f t="shared" si="56"/>
        <v>0</v>
      </c>
      <c r="R360" s="281">
        <v>54350</v>
      </c>
      <c r="S360" s="234">
        <f t="shared" si="57"/>
        <v>0</v>
      </c>
      <c r="T360" s="22">
        <v>81928.571428571435</v>
      </c>
      <c r="U360" s="261">
        <f t="shared" si="58"/>
        <v>0</v>
      </c>
      <c r="V360" s="281">
        <v>54350</v>
      </c>
      <c r="W360" s="234">
        <f t="shared" si="59"/>
        <v>0</v>
      </c>
      <c r="X360" s="22">
        <v>81928.571428571435</v>
      </c>
      <c r="Y360" s="261">
        <f t="shared" si="60"/>
        <v>0</v>
      </c>
    </row>
    <row r="361" spans="1:25">
      <c r="A361" s="2"/>
      <c r="B361" s="71">
        <v>357</v>
      </c>
      <c r="C361" s="174" t="s">
        <v>708</v>
      </c>
      <c r="D361" s="234">
        <v>70500</v>
      </c>
      <c r="E361" s="143">
        <v>105000</v>
      </c>
      <c r="F361">
        <v>70500</v>
      </c>
      <c r="G361" s="234">
        <f t="shared" si="51"/>
        <v>0</v>
      </c>
      <c r="H361">
        <v>105000</v>
      </c>
      <c r="I361" s="261">
        <f t="shared" si="52"/>
        <v>0</v>
      </c>
      <c r="J361">
        <v>70500</v>
      </c>
      <c r="K361" s="234">
        <f t="shared" si="53"/>
        <v>0</v>
      </c>
      <c r="L361" s="143">
        <v>105000</v>
      </c>
      <c r="M361" s="261">
        <f t="shared" si="54"/>
        <v>0</v>
      </c>
      <c r="N361" s="234">
        <v>70500</v>
      </c>
      <c r="O361" s="234">
        <f t="shared" si="55"/>
        <v>0</v>
      </c>
      <c r="P361" s="143">
        <v>105000</v>
      </c>
      <c r="Q361" s="261">
        <f t="shared" si="56"/>
        <v>0</v>
      </c>
      <c r="R361" s="281">
        <v>70500</v>
      </c>
      <c r="S361" s="234">
        <f t="shared" si="57"/>
        <v>0</v>
      </c>
      <c r="T361" s="22">
        <v>104285.71428571429</v>
      </c>
      <c r="U361" s="261">
        <f t="shared" si="58"/>
        <v>-714.28571428571013</v>
      </c>
      <c r="V361" s="281">
        <v>70500</v>
      </c>
      <c r="W361" s="234">
        <f t="shared" si="59"/>
        <v>0</v>
      </c>
      <c r="X361" s="22">
        <v>104285.71428571429</v>
      </c>
      <c r="Y361" s="261">
        <f t="shared" si="60"/>
        <v>0</v>
      </c>
    </row>
    <row r="362" spans="1:25">
      <c r="A362" s="2"/>
      <c r="B362" s="71">
        <v>358</v>
      </c>
      <c r="C362" s="52" t="s">
        <v>377</v>
      </c>
      <c r="D362" s="234">
        <v>38850</v>
      </c>
      <c r="E362" s="143">
        <v>59785.71428571429</v>
      </c>
      <c r="F362">
        <v>38850</v>
      </c>
      <c r="G362" s="234">
        <f t="shared" si="51"/>
        <v>0</v>
      </c>
      <c r="H362">
        <v>59785.71428571429</v>
      </c>
      <c r="I362" s="261">
        <f t="shared" si="52"/>
        <v>0</v>
      </c>
      <c r="J362">
        <v>38850</v>
      </c>
      <c r="K362" s="234">
        <f t="shared" si="53"/>
        <v>0</v>
      </c>
      <c r="L362" s="143">
        <v>59785.71428571429</v>
      </c>
      <c r="M362" s="261">
        <f t="shared" si="54"/>
        <v>0</v>
      </c>
      <c r="N362" s="234">
        <v>38850</v>
      </c>
      <c r="O362" s="234">
        <f t="shared" si="55"/>
        <v>0</v>
      </c>
      <c r="P362" s="143">
        <v>59785.71428571429</v>
      </c>
      <c r="Q362" s="261">
        <f t="shared" si="56"/>
        <v>0</v>
      </c>
      <c r="R362" s="281">
        <v>38850</v>
      </c>
      <c r="S362" s="234">
        <f t="shared" si="57"/>
        <v>0</v>
      </c>
      <c r="T362" s="22">
        <v>59785.71428571429</v>
      </c>
      <c r="U362" s="261">
        <f t="shared" si="58"/>
        <v>0</v>
      </c>
      <c r="V362" s="281">
        <v>38850</v>
      </c>
      <c r="W362" s="234">
        <f t="shared" si="59"/>
        <v>0</v>
      </c>
      <c r="X362" s="22">
        <v>59785.71428571429</v>
      </c>
      <c r="Y362" s="261">
        <f t="shared" si="60"/>
        <v>0</v>
      </c>
    </row>
    <row r="363" spans="1:25">
      <c r="A363" s="2"/>
      <c r="B363" s="2">
        <v>359</v>
      </c>
      <c r="C363" s="52" t="s">
        <v>378</v>
      </c>
      <c r="D363" s="234">
        <v>41850</v>
      </c>
      <c r="E363" s="143">
        <v>64071.428571428572</v>
      </c>
      <c r="F363">
        <v>41850</v>
      </c>
      <c r="G363" s="234">
        <f t="shared" si="51"/>
        <v>0</v>
      </c>
      <c r="H363">
        <v>64071.428571428572</v>
      </c>
      <c r="I363" s="261">
        <f t="shared" si="52"/>
        <v>0</v>
      </c>
      <c r="J363">
        <v>41850</v>
      </c>
      <c r="K363" s="234">
        <f t="shared" si="53"/>
        <v>0</v>
      </c>
      <c r="L363" s="143">
        <v>64071.428571428572</v>
      </c>
      <c r="M363" s="261">
        <f t="shared" si="54"/>
        <v>0</v>
      </c>
      <c r="N363" s="234">
        <v>41850</v>
      </c>
      <c r="O363" s="234">
        <f t="shared" si="55"/>
        <v>0</v>
      </c>
      <c r="P363" s="143">
        <v>64071.428571428572</v>
      </c>
      <c r="Q363" s="261">
        <f t="shared" si="56"/>
        <v>0</v>
      </c>
      <c r="R363" s="281">
        <v>41850</v>
      </c>
      <c r="S363" s="234">
        <f t="shared" si="57"/>
        <v>0</v>
      </c>
      <c r="T363" s="22">
        <v>64071.428571428572</v>
      </c>
      <c r="U363" s="261">
        <f t="shared" si="58"/>
        <v>0</v>
      </c>
      <c r="V363" s="281">
        <v>41850</v>
      </c>
      <c r="W363" s="234">
        <f t="shared" si="59"/>
        <v>0</v>
      </c>
      <c r="X363" s="22">
        <v>64071.428571428572</v>
      </c>
      <c r="Y363" s="261">
        <f t="shared" si="60"/>
        <v>0</v>
      </c>
    </row>
    <row r="364" spans="1:25">
      <c r="A364" s="2"/>
      <c r="B364" s="71">
        <v>360</v>
      </c>
      <c r="C364" s="174" t="s">
        <v>709</v>
      </c>
      <c r="D364" s="234">
        <v>50850</v>
      </c>
      <c r="E364" s="143">
        <v>76928.571428571435</v>
      </c>
      <c r="F364">
        <v>50850</v>
      </c>
      <c r="G364" s="234">
        <f t="shared" si="51"/>
        <v>0</v>
      </c>
      <c r="H364">
        <v>76928.571428571435</v>
      </c>
      <c r="I364" s="261">
        <f t="shared" si="52"/>
        <v>0</v>
      </c>
      <c r="J364">
        <v>50850</v>
      </c>
      <c r="K364" s="234">
        <f t="shared" si="53"/>
        <v>0</v>
      </c>
      <c r="L364" s="143">
        <v>76928.571428571435</v>
      </c>
      <c r="M364" s="261">
        <f t="shared" si="54"/>
        <v>0</v>
      </c>
      <c r="N364" s="234">
        <v>50850</v>
      </c>
      <c r="O364" s="234">
        <f t="shared" si="55"/>
        <v>0</v>
      </c>
      <c r="P364" s="143">
        <v>76928.571428571435</v>
      </c>
      <c r="Q364" s="261">
        <f t="shared" si="56"/>
        <v>0</v>
      </c>
      <c r="R364" s="281">
        <v>50850</v>
      </c>
      <c r="S364" s="234">
        <f t="shared" si="57"/>
        <v>0</v>
      </c>
      <c r="T364" s="22">
        <v>76928.571428571435</v>
      </c>
      <c r="U364" s="261">
        <f t="shared" si="58"/>
        <v>0</v>
      </c>
      <c r="V364" s="281">
        <v>50850</v>
      </c>
      <c r="W364" s="234">
        <f t="shared" si="59"/>
        <v>0</v>
      </c>
      <c r="X364" s="22">
        <v>76928.571428571435</v>
      </c>
      <c r="Y364" s="261">
        <f t="shared" si="60"/>
        <v>0</v>
      </c>
    </row>
    <row r="365" spans="1:25">
      <c r="A365" s="2"/>
      <c r="B365" s="71">
        <v>361</v>
      </c>
      <c r="C365" s="52" t="s">
        <v>379</v>
      </c>
      <c r="D365" s="234">
        <v>41400</v>
      </c>
      <c r="E365" s="143">
        <v>63428.571428571435</v>
      </c>
      <c r="F365">
        <v>41400</v>
      </c>
      <c r="G365" s="234">
        <f t="shared" si="51"/>
        <v>0</v>
      </c>
      <c r="H365">
        <v>63428.571428571435</v>
      </c>
      <c r="I365" s="261">
        <f t="shared" si="52"/>
        <v>0</v>
      </c>
      <c r="J365">
        <v>41400</v>
      </c>
      <c r="K365" s="234">
        <f t="shared" si="53"/>
        <v>0</v>
      </c>
      <c r="L365" s="143">
        <v>63428.571428571435</v>
      </c>
      <c r="M365" s="261">
        <f t="shared" si="54"/>
        <v>0</v>
      </c>
      <c r="N365" s="234">
        <v>41400</v>
      </c>
      <c r="O365" s="234">
        <f t="shared" si="55"/>
        <v>0</v>
      </c>
      <c r="P365" s="143">
        <v>63428.571428571435</v>
      </c>
      <c r="Q365" s="261">
        <f t="shared" si="56"/>
        <v>0</v>
      </c>
      <c r="R365" s="281">
        <v>41400</v>
      </c>
      <c r="S365" s="234">
        <f t="shared" si="57"/>
        <v>0</v>
      </c>
      <c r="T365" s="22">
        <v>63428.571428571435</v>
      </c>
      <c r="U365" s="261">
        <f t="shared" si="58"/>
        <v>0</v>
      </c>
      <c r="V365" s="281">
        <v>41400</v>
      </c>
      <c r="W365" s="234">
        <f t="shared" si="59"/>
        <v>0</v>
      </c>
      <c r="X365" s="22">
        <v>63428.571428571435</v>
      </c>
      <c r="Y365" s="261">
        <f t="shared" si="60"/>
        <v>0</v>
      </c>
    </row>
    <row r="366" spans="1:25">
      <c r="A366" s="2"/>
      <c r="B366" s="2">
        <v>362</v>
      </c>
      <c r="C366" s="52" t="s">
        <v>380</v>
      </c>
      <c r="D366" s="234">
        <v>39750</v>
      </c>
      <c r="E366" s="143">
        <v>61071.428571428572</v>
      </c>
      <c r="F366">
        <v>39750</v>
      </c>
      <c r="G366" s="234">
        <f t="shared" si="51"/>
        <v>0</v>
      </c>
      <c r="H366">
        <v>61071.428571428572</v>
      </c>
      <c r="I366" s="261">
        <f t="shared" si="52"/>
        <v>0</v>
      </c>
      <c r="J366">
        <v>39750</v>
      </c>
      <c r="K366" s="234">
        <f t="shared" si="53"/>
        <v>0</v>
      </c>
      <c r="L366" s="143">
        <v>61071.428571428572</v>
      </c>
      <c r="M366" s="261">
        <f t="shared" si="54"/>
        <v>0</v>
      </c>
      <c r="N366" s="234">
        <v>39750</v>
      </c>
      <c r="O366" s="234">
        <f t="shared" si="55"/>
        <v>0</v>
      </c>
      <c r="P366" s="143">
        <v>61071.428571428572</v>
      </c>
      <c r="Q366" s="261">
        <f t="shared" si="56"/>
        <v>0</v>
      </c>
      <c r="R366" s="281">
        <v>39750</v>
      </c>
      <c r="S366" s="234">
        <f t="shared" si="57"/>
        <v>0</v>
      </c>
      <c r="T366" s="22">
        <v>61071.428571428572</v>
      </c>
      <c r="U366" s="261">
        <f t="shared" si="58"/>
        <v>0</v>
      </c>
      <c r="V366" s="281">
        <v>39750</v>
      </c>
      <c r="W366" s="234">
        <f t="shared" si="59"/>
        <v>0</v>
      </c>
      <c r="X366" s="22">
        <v>61071.428571428572</v>
      </c>
      <c r="Y366" s="261">
        <f t="shared" si="60"/>
        <v>0</v>
      </c>
    </row>
    <row r="367" spans="1:25">
      <c r="A367" s="2"/>
      <c r="B367" s="71">
        <v>363</v>
      </c>
      <c r="C367" s="52" t="s">
        <v>382</v>
      </c>
      <c r="D367" s="234">
        <v>34000</v>
      </c>
      <c r="E367" s="143">
        <v>52857.142857142862</v>
      </c>
      <c r="F367">
        <v>34000</v>
      </c>
      <c r="G367" s="234">
        <f t="shared" si="51"/>
        <v>0</v>
      </c>
      <c r="H367">
        <v>52857.142857142862</v>
      </c>
      <c r="I367" s="261">
        <f t="shared" si="52"/>
        <v>0</v>
      </c>
      <c r="J367">
        <v>34000</v>
      </c>
      <c r="K367" s="234">
        <f t="shared" si="53"/>
        <v>0</v>
      </c>
      <c r="L367" s="143">
        <v>52857.142857142862</v>
      </c>
      <c r="M367" s="261">
        <f t="shared" si="54"/>
        <v>0</v>
      </c>
      <c r="N367" s="234">
        <v>34000</v>
      </c>
      <c r="O367" s="234">
        <f t="shared" si="55"/>
        <v>0</v>
      </c>
      <c r="P367" s="143">
        <v>52857.142857142862</v>
      </c>
      <c r="Q367" s="261">
        <f t="shared" si="56"/>
        <v>0</v>
      </c>
      <c r="R367" s="281">
        <v>34000</v>
      </c>
      <c r="S367" s="234">
        <f t="shared" si="57"/>
        <v>0</v>
      </c>
      <c r="T367" s="22">
        <v>52857.142857142862</v>
      </c>
      <c r="U367" s="261">
        <f t="shared" si="58"/>
        <v>0</v>
      </c>
      <c r="V367" s="281">
        <v>34000</v>
      </c>
      <c r="W367" s="234">
        <f t="shared" si="59"/>
        <v>0</v>
      </c>
      <c r="X367" s="22">
        <v>52857.142857142862</v>
      </c>
      <c r="Y367" s="261">
        <f t="shared" si="60"/>
        <v>0</v>
      </c>
    </row>
    <row r="368" spans="1:25">
      <c r="A368" s="71" t="s">
        <v>842</v>
      </c>
      <c r="B368" s="71">
        <v>364</v>
      </c>
      <c r="C368" s="236" t="s">
        <v>710</v>
      </c>
      <c r="D368" s="234">
        <v>34000</v>
      </c>
      <c r="E368" s="143">
        <v>52857.142857142862</v>
      </c>
      <c r="F368">
        <v>34000</v>
      </c>
      <c r="G368" s="234">
        <f t="shared" si="51"/>
        <v>0</v>
      </c>
      <c r="H368">
        <v>52857.142857142862</v>
      </c>
      <c r="I368" s="261">
        <f t="shared" si="52"/>
        <v>0</v>
      </c>
      <c r="J368">
        <v>34000</v>
      </c>
      <c r="K368" s="234">
        <f t="shared" si="53"/>
        <v>0</v>
      </c>
      <c r="L368" s="143">
        <v>52857.142857142862</v>
      </c>
      <c r="M368" s="261">
        <f t="shared" si="54"/>
        <v>0</v>
      </c>
      <c r="N368" s="234">
        <v>34000</v>
      </c>
      <c r="O368" s="234">
        <f t="shared" si="55"/>
        <v>0</v>
      </c>
      <c r="P368" s="143">
        <v>52857.142857142862</v>
      </c>
      <c r="Q368" s="261">
        <f t="shared" si="56"/>
        <v>0</v>
      </c>
      <c r="R368" s="281">
        <v>34000</v>
      </c>
      <c r="S368" s="234">
        <f t="shared" si="57"/>
        <v>0</v>
      </c>
      <c r="T368" s="22">
        <v>52857.142857142862</v>
      </c>
      <c r="U368" s="261">
        <f t="shared" si="58"/>
        <v>0</v>
      </c>
      <c r="V368" s="281">
        <v>34000</v>
      </c>
      <c r="W368" s="234">
        <f t="shared" si="59"/>
        <v>0</v>
      </c>
      <c r="X368" s="22">
        <v>52857.142857142862</v>
      </c>
      <c r="Y368" s="261">
        <f t="shared" si="60"/>
        <v>0</v>
      </c>
    </row>
    <row r="369" spans="1:25">
      <c r="A369" s="2"/>
      <c r="B369" s="2">
        <v>365</v>
      </c>
      <c r="C369" s="52" t="s">
        <v>383</v>
      </c>
      <c r="D369" s="234">
        <v>34000</v>
      </c>
      <c r="E369" s="143">
        <v>52857.142857142862</v>
      </c>
      <c r="F369">
        <v>34000</v>
      </c>
      <c r="G369" s="234">
        <f t="shared" si="51"/>
        <v>0</v>
      </c>
      <c r="H369">
        <v>52857.142857142862</v>
      </c>
      <c r="I369" s="261">
        <f t="shared" si="52"/>
        <v>0</v>
      </c>
      <c r="J369">
        <v>34000</v>
      </c>
      <c r="K369" s="234">
        <f t="shared" si="53"/>
        <v>0</v>
      </c>
      <c r="L369" s="143">
        <v>52857.142857142862</v>
      </c>
      <c r="M369" s="261">
        <f t="shared" si="54"/>
        <v>0</v>
      </c>
      <c r="N369" s="234">
        <v>34000</v>
      </c>
      <c r="O369" s="234">
        <f t="shared" si="55"/>
        <v>0</v>
      </c>
      <c r="P369" s="143">
        <v>52857.142857142862</v>
      </c>
      <c r="Q369" s="261">
        <f t="shared" si="56"/>
        <v>0</v>
      </c>
      <c r="R369" s="281">
        <v>34000</v>
      </c>
      <c r="S369" s="234">
        <f t="shared" si="57"/>
        <v>0</v>
      </c>
      <c r="T369" s="22">
        <v>52857.142857142862</v>
      </c>
      <c r="U369" s="261">
        <f t="shared" si="58"/>
        <v>0</v>
      </c>
      <c r="V369" s="281">
        <v>34000</v>
      </c>
      <c r="W369" s="234">
        <f t="shared" si="59"/>
        <v>0</v>
      </c>
      <c r="X369" s="22">
        <v>52857.142857142862</v>
      </c>
      <c r="Y369" s="261">
        <f t="shared" si="60"/>
        <v>0</v>
      </c>
    </row>
    <row r="370" spans="1:25">
      <c r="A370" s="2"/>
      <c r="B370" s="71">
        <v>366</v>
      </c>
      <c r="C370" s="52" t="s">
        <v>384</v>
      </c>
      <c r="D370" s="234">
        <v>39400</v>
      </c>
      <c r="E370" s="143">
        <v>60571.428571428572</v>
      </c>
      <c r="F370">
        <v>39400</v>
      </c>
      <c r="G370" s="234">
        <f t="shared" si="51"/>
        <v>0</v>
      </c>
      <c r="H370">
        <v>60571.428571428572</v>
      </c>
      <c r="I370" s="261">
        <f t="shared" si="52"/>
        <v>0</v>
      </c>
      <c r="J370">
        <v>39400</v>
      </c>
      <c r="K370" s="234">
        <f t="shared" si="53"/>
        <v>0</v>
      </c>
      <c r="L370" s="143">
        <v>60571.428571428572</v>
      </c>
      <c r="M370" s="261">
        <f t="shared" si="54"/>
        <v>0</v>
      </c>
      <c r="N370" s="234">
        <v>39400</v>
      </c>
      <c r="O370" s="234">
        <f t="shared" si="55"/>
        <v>0</v>
      </c>
      <c r="P370" s="143">
        <v>60571.428571428572</v>
      </c>
      <c r="Q370" s="261">
        <f t="shared" si="56"/>
        <v>0</v>
      </c>
      <c r="R370" s="281">
        <v>39400</v>
      </c>
      <c r="S370" s="234">
        <f t="shared" si="57"/>
        <v>0</v>
      </c>
      <c r="T370" s="22">
        <v>60571.428571428572</v>
      </c>
      <c r="U370" s="261">
        <f t="shared" si="58"/>
        <v>0</v>
      </c>
      <c r="V370" s="281">
        <v>39400</v>
      </c>
      <c r="W370" s="234">
        <f t="shared" si="59"/>
        <v>0</v>
      </c>
      <c r="X370" s="22">
        <v>60571.428571428572</v>
      </c>
      <c r="Y370" s="261">
        <f t="shared" si="60"/>
        <v>0</v>
      </c>
    </row>
    <row r="371" spans="1:25">
      <c r="A371" s="2"/>
      <c r="B371" s="71">
        <v>367</v>
      </c>
      <c r="C371" s="174" t="s">
        <v>711</v>
      </c>
      <c r="D371" s="234">
        <v>42250</v>
      </c>
      <c r="E371" s="143">
        <v>64642.857142857145</v>
      </c>
      <c r="F371">
        <v>42250</v>
      </c>
      <c r="G371" s="234">
        <f t="shared" si="51"/>
        <v>0</v>
      </c>
      <c r="H371">
        <v>64642.857142857145</v>
      </c>
      <c r="I371" s="261">
        <f t="shared" si="52"/>
        <v>0</v>
      </c>
      <c r="J371">
        <v>42250</v>
      </c>
      <c r="K371" s="234">
        <f t="shared" si="53"/>
        <v>0</v>
      </c>
      <c r="L371" s="143">
        <v>64642.857142857145</v>
      </c>
      <c r="M371" s="261">
        <f t="shared" si="54"/>
        <v>0</v>
      </c>
      <c r="N371" s="234">
        <v>42250</v>
      </c>
      <c r="O371" s="234">
        <f t="shared" si="55"/>
        <v>0</v>
      </c>
      <c r="P371" s="143">
        <v>64642.857142857145</v>
      </c>
      <c r="Q371" s="261">
        <f t="shared" si="56"/>
        <v>0</v>
      </c>
      <c r="R371" s="281">
        <v>42250</v>
      </c>
      <c r="S371" s="234">
        <f t="shared" si="57"/>
        <v>0</v>
      </c>
      <c r="T371" s="22">
        <v>64642.857142857145</v>
      </c>
      <c r="U371" s="261">
        <f t="shared" si="58"/>
        <v>0</v>
      </c>
      <c r="V371" s="281">
        <v>42250</v>
      </c>
      <c r="W371" s="234">
        <f t="shared" si="59"/>
        <v>0</v>
      </c>
      <c r="X371" s="22">
        <v>64642.857142857145</v>
      </c>
      <c r="Y371" s="261">
        <f t="shared" si="60"/>
        <v>0</v>
      </c>
    </row>
    <row r="372" spans="1:25">
      <c r="A372" s="2"/>
      <c r="B372" s="2">
        <v>368</v>
      </c>
      <c r="C372" s="52" t="s">
        <v>385</v>
      </c>
      <c r="D372" s="234">
        <v>45850</v>
      </c>
      <c r="E372" s="143">
        <v>69785.71428571429</v>
      </c>
      <c r="F372">
        <v>45850</v>
      </c>
      <c r="G372" s="234">
        <f t="shared" si="51"/>
        <v>0</v>
      </c>
      <c r="H372">
        <v>69785.71428571429</v>
      </c>
      <c r="I372" s="261">
        <f t="shared" si="52"/>
        <v>0</v>
      </c>
      <c r="J372">
        <v>45850</v>
      </c>
      <c r="K372" s="234">
        <f t="shared" si="53"/>
        <v>0</v>
      </c>
      <c r="L372" s="143">
        <v>69785.71428571429</v>
      </c>
      <c r="M372" s="261">
        <f t="shared" si="54"/>
        <v>0</v>
      </c>
      <c r="N372" s="234">
        <v>45850</v>
      </c>
      <c r="O372" s="234">
        <f t="shared" si="55"/>
        <v>0</v>
      </c>
      <c r="P372" s="143">
        <v>69785.71428571429</v>
      </c>
      <c r="Q372" s="261">
        <f t="shared" si="56"/>
        <v>0</v>
      </c>
      <c r="R372" s="281">
        <v>45850</v>
      </c>
      <c r="S372" s="234">
        <f t="shared" si="57"/>
        <v>0</v>
      </c>
      <c r="T372" s="22">
        <v>69785.71428571429</v>
      </c>
      <c r="U372" s="261">
        <f t="shared" si="58"/>
        <v>0</v>
      </c>
      <c r="V372" s="281">
        <v>45850</v>
      </c>
      <c r="W372" s="234">
        <f t="shared" si="59"/>
        <v>0</v>
      </c>
      <c r="X372" s="22">
        <v>69785.71428571429</v>
      </c>
      <c r="Y372" s="261">
        <f t="shared" si="60"/>
        <v>0</v>
      </c>
    </row>
    <row r="373" spans="1:25">
      <c r="A373" s="2"/>
      <c r="B373" s="71">
        <v>369</v>
      </c>
      <c r="C373" s="52" t="s">
        <v>386</v>
      </c>
      <c r="D373" s="234">
        <v>39400</v>
      </c>
      <c r="E373" s="143">
        <v>60571.428571428572</v>
      </c>
      <c r="F373">
        <v>39400</v>
      </c>
      <c r="G373" s="234">
        <f t="shared" si="51"/>
        <v>0</v>
      </c>
      <c r="H373">
        <v>60571.428571428572</v>
      </c>
      <c r="I373" s="261">
        <f t="shared" si="52"/>
        <v>0</v>
      </c>
      <c r="J373">
        <v>39400</v>
      </c>
      <c r="K373" s="234">
        <f t="shared" si="53"/>
        <v>0</v>
      </c>
      <c r="L373" s="143">
        <v>60571.428571428572</v>
      </c>
      <c r="M373" s="261">
        <f t="shared" si="54"/>
        <v>0</v>
      </c>
      <c r="N373" s="234">
        <v>39400</v>
      </c>
      <c r="O373" s="234">
        <f t="shared" si="55"/>
        <v>0</v>
      </c>
      <c r="P373" s="143">
        <v>60571.428571428572</v>
      </c>
      <c r="Q373" s="261">
        <f t="shared" si="56"/>
        <v>0</v>
      </c>
      <c r="R373" s="281">
        <v>39400</v>
      </c>
      <c r="S373" s="234">
        <f t="shared" si="57"/>
        <v>0</v>
      </c>
      <c r="T373" s="22">
        <v>60571.428571428572</v>
      </c>
      <c r="U373" s="261">
        <f t="shared" si="58"/>
        <v>0</v>
      </c>
      <c r="V373" s="281">
        <v>39400</v>
      </c>
      <c r="W373" s="234">
        <f t="shared" si="59"/>
        <v>0</v>
      </c>
      <c r="X373" s="22">
        <v>60571.428571428572</v>
      </c>
      <c r="Y373" s="261">
        <f t="shared" si="60"/>
        <v>0</v>
      </c>
    </row>
    <row r="374" spans="1:25">
      <c r="A374" s="2"/>
      <c r="B374" s="71">
        <v>370</v>
      </c>
      <c r="C374" s="52" t="s">
        <v>387</v>
      </c>
      <c r="D374" s="234">
        <v>32000</v>
      </c>
      <c r="E374" s="143">
        <v>50000</v>
      </c>
      <c r="F374">
        <v>32000</v>
      </c>
      <c r="G374" s="234">
        <f t="shared" si="51"/>
        <v>0</v>
      </c>
      <c r="H374">
        <v>50000</v>
      </c>
      <c r="I374" s="261">
        <f t="shared" si="52"/>
        <v>0</v>
      </c>
      <c r="J374">
        <v>32000</v>
      </c>
      <c r="K374" s="234">
        <f t="shared" si="53"/>
        <v>0</v>
      </c>
      <c r="L374" s="143">
        <v>50000</v>
      </c>
      <c r="M374" s="261">
        <f t="shared" si="54"/>
        <v>0</v>
      </c>
      <c r="N374" s="234">
        <v>32000</v>
      </c>
      <c r="O374" s="234">
        <f t="shared" si="55"/>
        <v>0</v>
      </c>
      <c r="P374" s="143">
        <v>50000</v>
      </c>
      <c r="Q374" s="261">
        <f t="shared" si="56"/>
        <v>0</v>
      </c>
      <c r="R374" s="281">
        <v>32000</v>
      </c>
      <c r="S374" s="234">
        <f t="shared" si="57"/>
        <v>0</v>
      </c>
      <c r="T374" s="22">
        <v>50000</v>
      </c>
      <c r="U374" s="261">
        <f t="shared" si="58"/>
        <v>0</v>
      </c>
      <c r="V374" s="281">
        <v>32000</v>
      </c>
      <c r="W374" s="234">
        <f t="shared" si="59"/>
        <v>0</v>
      </c>
      <c r="X374" s="22">
        <v>50000</v>
      </c>
      <c r="Y374" s="261">
        <f t="shared" si="60"/>
        <v>0</v>
      </c>
    </row>
    <row r="375" spans="1:25">
      <c r="A375" s="2"/>
      <c r="B375" s="2">
        <v>371</v>
      </c>
      <c r="C375" s="52" t="s">
        <v>388</v>
      </c>
      <c r="D375" s="234">
        <v>40850</v>
      </c>
      <c r="E375" s="143">
        <v>62642.857142857145</v>
      </c>
      <c r="F375">
        <v>40850</v>
      </c>
      <c r="G375" s="234">
        <f t="shared" si="51"/>
        <v>0</v>
      </c>
      <c r="H375">
        <v>62642.857142857145</v>
      </c>
      <c r="I375" s="261">
        <f t="shared" si="52"/>
        <v>0</v>
      </c>
      <c r="J375">
        <v>40850</v>
      </c>
      <c r="K375" s="234">
        <f t="shared" si="53"/>
        <v>0</v>
      </c>
      <c r="L375" s="143">
        <v>62642.857142857145</v>
      </c>
      <c r="M375" s="261">
        <f t="shared" si="54"/>
        <v>0</v>
      </c>
      <c r="N375" s="234">
        <v>40850</v>
      </c>
      <c r="O375" s="234">
        <f t="shared" si="55"/>
        <v>0</v>
      </c>
      <c r="P375" s="143">
        <v>62642.857142857145</v>
      </c>
      <c r="Q375" s="261">
        <f t="shared" si="56"/>
        <v>0</v>
      </c>
      <c r="R375" s="281">
        <v>40850</v>
      </c>
      <c r="S375" s="234">
        <f t="shared" si="57"/>
        <v>0</v>
      </c>
      <c r="T375" s="22">
        <v>62642.857142857145</v>
      </c>
      <c r="U375" s="261">
        <f t="shared" si="58"/>
        <v>0</v>
      </c>
      <c r="V375" s="281">
        <v>40850</v>
      </c>
      <c r="W375" s="234">
        <f t="shared" si="59"/>
        <v>0</v>
      </c>
      <c r="X375" s="22">
        <v>62642.857142857145</v>
      </c>
      <c r="Y375" s="261">
        <f t="shared" si="60"/>
        <v>0</v>
      </c>
    </row>
    <row r="376" spans="1:25">
      <c r="A376" s="2"/>
      <c r="B376" s="71">
        <v>372</v>
      </c>
      <c r="C376" s="174" t="s">
        <v>712</v>
      </c>
      <c r="D376" s="234">
        <v>58450</v>
      </c>
      <c r="E376" s="143">
        <v>87785.71428571429</v>
      </c>
      <c r="F376">
        <v>58450</v>
      </c>
      <c r="G376" s="234">
        <f t="shared" si="51"/>
        <v>0</v>
      </c>
      <c r="H376">
        <v>87785.71428571429</v>
      </c>
      <c r="I376" s="261">
        <f t="shared" si="52"/>
        <v>0</v>
      </c>
      <c r="J376">
        <v>58450</v>
      </c>
      <c r="K376" s="234">
        <f t="shared" si="53"/>
        <v>0</v>
      </c>
      <c r="L376" s="143">
        <v>87785.71428571429</v>
      </c>
      <c r="M376" s="261">
        <f t="shared" si="54"/>
        <v>0</v>
      </c>
      <c r="N376" s="234">
        <v>58450</v>
      </c>
      <c r="O376" s="234">
        <f t="shared" si="55"/>
        <v>0</v>
      </c>
      <c r="P376" s="143">
        <v>87785.71428571429</v>
      </c>
      <c r="Q376" s="261">
        <f t="shared" si="56"/>
        <v>0</v>
      </c>
      <c r="R376" s="281">
        <v>58450</v>
      </c>
      <c r="S376" s="234">
        <f t="shared" si="57"/>
        <v>0</v>
      </c>
      <c r="T376" s="22">
        <v>87785.71428571429</v>
      </c>
      <c r="U376" s="261">
        <f t="shared" si="58"/>
        <v>0</v>
      </c>
      <c r="V376" s="281">
        <v>58450</v>
      </c>
      <c r="W376" s="234">
        <f t="shared" si="59"/>
        <v>0</v>
      </c>
      <c r="X376" s="22">
        <v>87785.71428571429</v>
      </c>
      <c r="Y376" s="261">
        <f t="shared" si="60"/>
        <v>0</v>
      </c>
    </row>
    <row r="377" spans="1:25">
      <c r="A377" s="2"/>
      <c r="B377" s="71">
        <v>373</v>
      </c>
      <c r="C377" s="52" t="s">
        <v>389</v>
      </c>
      <c r="D377" s="234">
        <v>30000</v>
      </c>
      <c r="E377" s="143">
        <v>47142.857142857145</v>
      </c>
      <c r="F377">
        <v>30000</v>
      </c>
      <c r="G377" s="234">
        <f t="shared" si="51"/>
        <v>0</v>
      </c>
      <c r="H377">
        <v>47142.857142857145</v>
      </c>
      <c r="I377" s="261">
        <f t="shared" si="52"/>
        <v>0</v>
      </c>
      <c r="J377">
        <v>30000</v>
      </c>
      <c r="K377" s="234">
        <f t="shared" si="53"/>
        <v>0</v>
      </c>
      <c r="L377" s="143">
        <v>47142.857142857145</v>
      </c>
      <c r="M377" s="261">
        <f t="shared" si="54"/>
        <v>0</v>
      </c>
      <c r="N377" s="234">
        <v>30000</v>
      </c>
      <c r="O377" s="234">
        <f t="shared" si="55"/>
        <v>0</v>
      </c>
      <c r="P377" s="143">
        <v>47142.857142857145</v>
      </c>
      <c r="Q377" s="261">
        <f t="shared" si="56"/>
        <v>0</v>
      </c>
      <c r="R377" s="281">
        <v>30000</v>
      </c>
      <c r="S377" s="234">
        <f t="shared" si="57"/>
        <v>0</v>
      </c>
      <c r="T377" s="22">
        <v>47142.857142857145</v>
      </c>
      <c r="U377" s="261">
        <f t="shared" si="58"/>
        <v>0</v>
      </c>
      <c r="V377" s="281">
        <v>30000</v>
      </c>
      <c r="W377" s="234">
        <f t="shared" si="59"/>
        <v>0</v>
      </c>
      <c r="X377" s="22">
        <v>47142.857142857145</v>
      </c>
      <c r="Y377" s="261">
        <f t="shared" si="60"/>
        <v>0</v>
      </c>
    </row>
    <row r="378" spans="1:25">
      <c r="A378" s="2"/>
      <c r="B378" s="2">
        <v>374</v>
      </c>
      <c r="C378" s="52" t="s">
        <v>390</v>
      </c>
      <c r="D378" s="234">
        <v>37000</v>
      </c>
      <c r="E378" s="143">
        <v>57142.857142857145</v>
      </c>
      <c r="F378">
        <v>37000</v>
      </c>
      <c r="G378" s="234">
        <f t="shared" si="51"/>
        <v>0</v>
      </c>
      <c r="H378">
        <v>57142.857142857145</v>
      </c>
      <c r="I378" s="261">
        <f t="shared" si="52"/>
        <v>0</v>
      </c>
      <c r="J378">
        <v>37000</v>
      </c>
      <c r="K378" s="234">
        <f t="shared" si="53"/>
        <v>0</v>
      </c>
      <c r="L378" s="143">
        <v>57142.857142857145</v>
      </c>
      <c r="M378" s="261">
        <f t="shared" si="54"/>
        <v>0</v>
      </c>
      <c r="N378" s="234">
        <v>37000</v>
      </c>
      <c r="O378" s="234">
        <f t="shared" si="55"/>
        <v>0</v>
      </c>
      <c r="P378" s="143">
        <v>57142.857142857145</v>
      </c>
      <c r="Q378" s="261">
        <f t="shared" si="56"/>
        <v>0</v>
      </c>
      <c r="R378" s="281">
        <v>37000</v>
      </c>
      <c r="S378" s="234">
        <f t="shared" si="57"/>
        <v>0</v>
      </c>
      <c r="T378" s="22">
        <v>57142.857142857145</v>
      </c>
      <c r="U378" s="261">
        <f t="shared" si="58"/>
        <v>0</v>
      </c>
      <c r="V378" s="281">
        <v>37000</v>
      </c>
      <c r="W378" s="234">
        <f t="shared" si="59"/>
        <v>0</v>
      </c>
      <c r="X378" s="22">
        <v>57142.857142857145</v>
      </c>
      <c r="Y378" s="261">
        <f t="shared" si="60"/>
        <v>0</v>
      </c>
    </row>
    <row r="379" spans="1:25">
      <c r="A379" s="2"/>
      <c r="B379" s="71">
        <v>375</v>
      </c>
      <c r="C379" s="52" t="s">
        <v>391</v>
      </c>
      <c r="D379" s="234">
        <v>32500</v>
      </c>
      <c r="E379" s="143">
        <v>50714.285714285717</v>
      </c>
      <c r="F379">
        <v>32500</v>
      </c>
      <c r="G379" s="234">
        <f t="shared" si="51"/>
        <v>0</v>
      </c>
      <c r="H379">
        <v>50714.285714285717</v>
      </c>
      <c r="I379" s="261">
        <f t="shared" si="52"/>
        <v>0</v>
      </c>
      <c r="J379">
        <v>32500</v>
      </c>
      <c r="K379" s="234">
        <f t="shared" si="53"/>
        <v>0</v>
      </c>
      <c r="L379" s="143">
        <v>50714.285714285717</v>
      </c>
      <c r="M379" s="261">
        <f t="shared" si="54"/>
        <v>0</v>
      </c>
      <c r="N379" s="234">
        <v>32500</v>
      </c>
      <c r="O379" s="234">
        <f t="shared" si="55"/>
        <v>0</v>
      </c>
      <c r="P379" s="143">
        <v>50714.285714285717</v>
      </c>
      <c r="Q379" s="261">
        <f t="shared" si="56"/>
        <v>0</v>
      </c>
      <c r="R379" s="281">
        <v>32500</v>
      </c>
      <c r="S379" s="234">
        <f t="shared" si="57"/>
        <v>0</v>
      </c>
      <c r="T379" s="22">
        <v>50714.285714285717</v>
      </c>
      <c r="U379" s="261">
        <f t="shared" si="58"/>
        <v>0</v>
      </c>
      <c r="V379" s="281">
        <v>32500</v>
      </c>
      <c r="W379" s="234">
        <f t="shared" si="59"/>
        <v>0</v>
      </c>
      <c r="X379" s="22">
        <v>50714.285714285717</v>
      </c>
      <c r="Y379" s="261">
        <f t="shared" si="60"/>
        <v>0</v>
      </c>
    </row>
    <row r="380" spans="1:25">
      <c r="A380" s="2"/>
      <c r="B380" s="71">
        <v>376</v>
      </c>
      <c r="C380" s="52" t="s">
        <v>392</v>
      </c>
      <c r="D380" s="234">
        <v>25000</v>
      </c>
      <c r="E380" s="143">
        <v>40000</v>
      </c>
      <c r="F380">
        <v>25000</v>
      </c>
      <c r="G380" s="234">
        <f t="shared" si="51"/>
        <v>0</v>
      </c>
      <c r="H380">
        <v>40000</v>
      </c>
      <c r="I380" s="261">
        <f t="shared" si="52"/>
        <v>0</v>
      </c>
      <c r="J380">
        <v>25000</v>
      </c>
      <c r="K380" s="234">
        <f t="shared" si="53"/>
        <v>0</v>
      </c>
      <c r="L380" s="143">
        <v>40000</v>
      </c>
      <c r="M380" s="261">
        <f t="shared" si="54"/>
        <v>0</v>
      </c>
      <c r="N380" s="234">
        <v>25000</v>
      </c>
      <c r="O380" s="234">
        <f t="shared" si="55"/>
        <v>0</v>
      </c>
      <c r="P380" s="143">
        <v>40000</v>
      </c>
      <c r="Q380" s="261">
        <f t="shared" si="56"/>
        <v>0</v>
      </c>
      <c r="R380" s="281">
        <v>25000</v>
      </c>
      <c r="S380" s="234">
        <f t="shared" si="57"/>
        <v>0</v>
      </c>
      <c r="T380" s="22">
        <v>40000</v>
      </c>
      <c r="U380" s="261">
        <f t="shared" si="58"/>
        <v>0</v>
      </c>
      <c r="V380" s="281">
        <v>25000</v>
      </c>
      <c r="W380" s="234">
        <f t="shared" si="59"/>
        <v>0</v>
      </c>
      <c r="X380" s="22">
        <v>40000</v>
      </c>
      <c r="Y380" s="261">
        <f t="shared" si="60"/>
        <v>0</v>
      </c>
    </row>
    <row r="381" spans="1:25">
      <c r="A381" s="2"/>
      <c r="B381" s="2">
        <v>377</v>
      </c>
      <c r="C381" s="52" t="s">
        <v>393</v>
      </c>
      <c r="D381" s="234">
        <v>25000</v>
      </c>
      <c r="E381" s="143">
        <v>40000</v>
      </c>
      <c r="F381">
        <v>25000</v>
      </c>
      <c r="G381" s="234">
        <f t="shared" si="51"/>
        <v>0</v>
      </c>
      <c r="H381">
        <v>40000</v>
      </c>
      <c r="I381" s="261">
        <f t="shared" si="52"/>
        <v>0</v>
      </c>
      <c r="J381">
        <v>25000</v>
      </c>
      <c r="K381" s="234">
        <f t="shared" si="53"/>
        <v>0</v>
      </c>
      <c r="L381" s="143">
        <v>40000</v>
      </c>
      <c r="M381" s="261">
        <f t="shared" si="54"/>
        <v>0</v>
      </c>
      <c r="N381" s="234">
        <v>25000</v>
      </c>
      <c r="O381" s="234">
        <f t="shared" si="55"/>
        <v>0</v>
      </c>
      <c r="P381" s="143">
        <v>40000</v>
      </c>
      <c r="Q381" s="261">
        <f t="shared" si="56"/>
        <v>0</v>
      </c>
      <c r="R381" s="281">
        <v>25000</v>
      </c>
      <c r="S381" s="234">
        <f t="shared" si="57"/>
        <v>0</v>
      </c>
      <c r="T381" s="22">
        <v>40000</v>
      </c>
      <c r="U381" s="261">
        <f t="shared" si="58"/>
        <v>0</v>
      </c>
      <c r="V381" s="281">
        <v>25000</v>
      </c>
      <c r="W381" s="234">
        <f t="shared" si="59"/>
        <v>0</v>
      </c>
      <c r="X381" s="22">
        <v>40000</v>
      </c>
      <c r="Y381" s="261">
        <f t="shared" si="60"/>
        <v>0</v>
      </c>
    </row>
    <row r="382" spans="1:25">
      <c r="A382" s="2"/>
      <c r="B382" s="71">
        <v>378</v>
      </c>
      <c r="C382" s="48" t="s">
        <v>394</v>
      </c>
      <c r="D382" s="234">
        <v>77350</v>
      </c>
      <c r="E382" s="143">
        <v>109071.42857142858</v>
      </c>
      <c r="F382">
        <v>77350</v>
      </c>
      <c r="G382" s="234">
        <f t="shared" si="51"/>
        <v>0</v>
      </c>
      <c r="H382">
        <v>111928.57142857143</v>
      </c>
      <c r="I382" s="261">
        <f t="shared" si="52"/>
        <v>2857.1428571428551</v>
      </c>
      <c r="J382">
        <v>77350</v>
      </c>
      <c r="K382" s="234">
        <f t="shared" si="53"/>
        <v>0</v>
      </c>
      <c r="L382" s="143">
        <v>111928.57142857143</v>
      </c>
      <c r="M382" s="261">
        <f t="shared" si="54"/>
        <v>0</v>
      </c>
      <c r="N382" s="234">
        <v>77350</v>
      </c>
      <c r="O382" s="234">
        <f t="shared" si="55"/>
        <v>0</v>
      </c>
      <c r="P382" s="143">
        <v>114785.71428571429</v>
      </c>
      <c r="Q382" s="261">
        <f t="shared" si="56"/>
        <v>2857.1428571428551</v>
      </c>
      <c r="R382" s="281">
        <v>77350</v>
      </c>
      <c r="S382" s="234">
        <f t="shared" si="57"/>
        <v>0</v>
      </c>
      <c r="T382" s="22">
        <v>114785.71428571429</v>
      </c>
      <c r="U382" s="261">
        <f t="shared" si="58"/>
        <v>0</v>
      </c>
      <c r="V382" s="281">
        <v>77350</v>
      </c>
      <c r="W382" s="234">
        <f t="shared" si="59"/>
        <v>0</v>
      </c>
      <c r="X382" s="22">
        <v>116214.28571428572</v>
      </c>
      <c r="Y382" s="261">
        <f t="shared" si="60"/>
        <v>1428.5714285714348</v>
      </c>
    </row>
    <row r="383" spans="1:25">
      <c r="A383" s="2"/>
      <c r="B383" s="71">
        <v>379</v>
      </c>
      <c r="C383" s="48" t="s">
        <v>397</v>
      </c>
      <c r="D383" s="234">
        <v>77850</v>
      </c>
      <c r="E383" s="143">
        <v>115500.00000000001</v>
      </c>
      <c r="F383">
        <v>77850</v>
      </c>
      <c r="G383" s="234">
        <f t="shared" si="51"/>
        <v>0</v>
      </c>
      <c r="H383">
        <v>115500.00000000001</v>
      </c>
      <c r="I383" s="261">
        <f t="shared" si="52"/>
        <v>0</v>
      </c>
      <c r="J383">
        <v>77850</v>
      </c>
      <c r="K383" s="234">
        <f t="shared" si="53"/>
        <v>0</v>
      </c>
      <c r="L383" s="143">
        <v>115500.00000000001</v>
      </c>
      <c r="M383" s="261">
        <f t="shared" si="54"/>
        <v>0</v>
      </c>
      <c r="N383" s="234">
        <v>77850</v>
      </c>
      <c r="O383" s="234">
        <f t="shared" si="55"/>
        <v>0</v>
      </c>
      <c r="P383" s="143">
        <v>116928.57142857143</v>
      </c>
      <c r="Q383" s="261">
        <f t="shared" si="56"/>
        <v>1428.5714285714203</v>
      </c>
      <c r="R383" s="281">
        <v>77850</v>
      </c>
      <c r="S383" s="234">
        <f t="shared" si="57"/>
        <v>0</v>
      </c>
      <c r="T383" s="22">
        <v>116928.57142857143</v>
      </c>
      <c r="U383" s="261">
        <f t="shared" si="58"/>
        <v>0</v>
      </c>
      <c r="V383" s="281">
        <v>77850</v>
      </c>
      <c r="W383" s="234">
        <f t="shared" si="59"/>
        <v>0</v>
      </c>
      <c r="X383" s="22">
        <v>118357.14285714287</v>
      </c>
      <c r="Y383" s="261">
        <f t="shared" si="60"/>
        <v>1428.5714285714348</v>
      </c>
    </row>
    <row r="384" spans="1:25">
      <c r="A384" s="2"/>
      <c r="B384" s="2">
        <v>380</v>
      </c>
      <c r="C384" s="48" t="s">
        <v>399</v>
      </c>
      <c r="D384" s="234">
        <v>77350</v>
      </c>
      <c r="E384" s="143">
        <v>109071.42857142858</v>
      </c>
      <c r="F384">
        <v>77350</v>
      </c>
      <c r="G384" s="234">
        <f t="shared" si="51"/>
        <v>0</v>
      </c>
      <c r="H384">
        <v>111928.57142857143</v>
      </c>
      <c r="I384" s="261">
        <f t="shared" si="52"/>
        <v>2857.1428571428551</v>
      </c>
      <c r="J384">
        <v>77350</v>
      </c>
      <c r="K384" s="234">
        <f t="shared" si="53"/>
        <v>0</v>
      </c>
      <c r="L384" s="143">
        <v>111928.57142857143</v>
      </c>
      <c r="M384" s="261">
        <f t="shared" si="54"/>
        <v>0</v>
      </c>
      <c r="N384" s="234">
        <v>77350</v>
      </c>
      <c r="O384" s="234">
        <f t="shared" si="55"/>
        <v>0</v>
      </c>
      <c r="P384" s="143">
        <v>114785.71428571429</v>
      </c>
      <c r="Q384" s="261">
        <f t="shared" si="56"/>
        <v>2857.1428571428551</v>
      </c>
      <c r="R384" s="281">
        <v>77350</v>
      </c>
      <c r="S384" s="234">
        <f t="shared" si="57"/>
        <v>0</v>
      </c>
      <c r="T384" s="22">
        <v>114785.71428571429</v>
      </c>
      <c r="U384" s="261">
        <f t="shared" si="58"/>
        <v>0</v>
      </c>
      <c r="V384" s="281">
        <v>77350</v>
      </c>
      <c r="W384" s="234">
        <f t="shared" si="59"/>
        <v>0</v>
      </c>
      <c r="X384" s="22">
        <v>116214.28571428572</v>
      </c>
      <c r="Y384" s="261">
        <f t="shared" si="60"/>
        <v>1428.5714285714348</v>
      </c>
    </row>
    <row r="385" spans="1:25">
      <c r="A385" s="2"/>
      <c r="B385" s="71">
        <v>381</v>
      </c>
      <c r="C385" s="48" t="s">
        <v>400</v>
      </c>
      <c r="D385" s="234">
        <v>77850</v>
      </c>
      <c r="E385" s="143">
        <v>115500.00000000001</v>
      </c>
      <c r="F385">
        <v>77850</v>
      </c>
      <c r="G385" s="234">
        <f t="shared" si="51"/>
        <v>0</v>
      </c>
      <c r="H385">
        <v>115500.00000000001</v>
      </c>
      <c r="I385" s="261">
        <f t="shared" si="52"/>
        <v>0</v>
      </c>
      <c r="J385">
        <v>77850</v>
      </c>
      <c r="K385" s="234">
        <f t="shared" si="53"/>
        <v>0</v>
      </c>
      <c r="L385" s="143">
        <v>115500.00000000001</v>
      </c>
      <c r="M385" s="261">
        <f t="shared" si="54"/>
        <v>0</v>
      </c>
      <c r="N385" s="234">
        <v>77850</v>
      </c>
      <c r="O385" s="234">
        <f t="shared" si="55"/>
        <v>0</v>
      </c>
      <c r="P385" s="143">
        <v>116928.57142857143</v>
      </c>
      <c r="Q385" s="261">
        <f t="shared" si="56"/>
        <v>1428.5714285714203</v>
      </c>
      <c r="R385" s="281">
        <v>77850</v>
      </c>
      <c r="S385" s="234">
        <f t="shared" si="57"/>
        <v>0</v>
      </c>
      <c r="T385" s="22">
        <v>116928.57142857143</v>
      </c>
      <c r="U385" s="261">
        <f t="shared" si="58"/>
        <v>0</v>
      </c>
      <c r="V385" s="281">
        <v>77850</v>
      </c>
      <c r="W385" s="234">
        <f t="shared" si="59"/>
        <v>0</v>
      </c>
      <c r="X385" s="22">
        <v>118357.14285714287</v>
      </c>
      <c r="Y385" s="261">
        <f t="shared" si="60"/>
        <v>1428.5714285714348</v>
      </c>
    </row>
    <row r="386" spans="1:25">
      <c r="A386" s="2"/>
      <c r="B386" s="71">
        <v>382</v>
      </c>
      <c r="C386" s="48" t="s">
        <v>401</v>
      </c>
      <c r="D386" s="234">
        <v>77850</v>
      </c>
      <c r="E386" s="143">
        <v>115500.00000000001</v>
      </c>
      <c r="F386">
        <v>77850</v>
      </c>
      <c r="G386" s="234">
        <f t="shared" si="51"/>
        <v>0</v>
      </c>
      <c r="H386">
        <v>115500.00000000001</v>
      </c>
      <c r="I386" s="261">
        <f t="shared" si="52"/>
        <v>0</v>
      </c>
      <c r="J386">
        <v>77850</v>
      </c>
      <c r="K386" s="234">
        <f t="shared" si="53"/>
        <v>0</v>
      </c>
      <c r="L386" s="143">
        <v>115500.00000000001</v>
      </c>
      <c r="M386" s="261">
        <f t="shared" si="54"/>
        <v>0</v>
      </c>
      <c r="N386" s="234">
        <v>77850</v>
      </c>
      <c r="O386" s="234">
        <f t="shared" si="55"/>
        <v>0</v>
      </c>
      <c r="P386" s="143">
        <v>116928.57142857143</v>
      </c>
      <c r="Q386" s="261">
        <f t="shared" si="56"/>
        <v>1428.5714285714203</v>
      </c>
      <c r="R386" s="281">
        <v>77850</v>
      </c>
      <c r="S386" s="234">
        <f t="shared" si="57"/>
        <v>0</v>
      </c>
      <c r="T386" s="22">
        <v>116928.57142857143</v>
      </c>
      <c r="U386" s="261">
        <f t="shared" si="58"/>
        <v>0</v>
      </c>
      <c r="V386" s="281">
        <v>77850</v>
      </c>
      <c r="W386" s="234">
        <f t="shared" si="59"/>
        <v>0</v>
      </c>
      <c r="X386" s="22">
        <v>118357.14285714287</v>
      </c>
      <c r="Y386" s="261">
        <f t="shared" si="60"/>
        <v>1428.5714285714348</v>
      </c>
    </row>
    <row r="387" spans="1:25">
      <c r="A387" s="2"/>
      <c r="B387" s="2">
        <v>383</v>
      </c>
      <c r="C387" s="48" t="s">
        <v>402</v>
      </c>
      <c r="D387" s="234">
        <v>77850</v>
      </c>
      <c r="E387" s="143">
        <v>115500.00000000001</v>
      </c>
      <c r="F387">
        <v>77850</v>
      </c>
      <c r="G387" s="234">
        <f t="shared" si="51"/>
        <v>0</v>
      </c>
      <c r="H387">
        <v>115500.00000000001</v>
      </c>
      <c r="I387" s="261">
        <f t="shared" si="52"/>
        <v>0</v>
      </c>
      <c r="J387">
        <v>77850</v>
      </c>
      <c r="K387" s="234">
        <f t="shared" si="53"/>
        <v>0</v>
      </c>
      <c r="L387" s="143">
        <v>115500.00000000001</v>
      </c>
      <c r="M387" s="261">
        <f t="shared" si="54"/>
        <v>0</v>
      </c>
      <c r="N387" s="234">
        <v>77850</v>
      </c>
      <c r="O387" s="234">
        <f t="shared" si="55"/>
        <v>0</v>
      </c>
      <c r="P387" s="143">
        <v>116928.57142857143</v>
      </c>
      <c r="Q387" s="261">
        <f t="shared" si="56"/>
        <v>1428.5714285714203</v>
      </c>
      <c r="R387" s="281">
        <v>77850</v>
      </c>
      <c r="S387" s="234">
        <f t="shared" si="57"/>
        <v>0</v>
      </c>
      <c r="T387" s="22">
        <v>116928.57142857143</v>
      </c>
      <c r="U387" s="261">
        <f t="shared" si="58"/>
        <v>0</v>
      </c>
      <c r="V387" s="281">
        <v>77850</v>
      </c>
      <c r="W387" s="234">
        <f t="shared" si="59"/>
        <v>0</v>
      </c>
      <c r="X387" s="22">
        <v>118357.14285714287</v>
      </c>
      <c r="Y387" s="261">
        <f t="shared" si="60"/>
        <v>1428.5714285714348</v>
      </c>
    </row>
    <row r="388" spans="1:25">
      <c r="A388" s="2"/>
      <c r="B388" s="71">
        <v>384</v>
      </c>
      <c r="C388" s="48" t="s">
        <v>403</v>
      </c>
      <c r="D388" s="234">
        <v>77850</v>
      </c>
      <c r="E388" s="143">
        <v>115500.00000000001</v>
      </c>
      <c r="F388">
        <v>77850</v>
      </c>
      <c r="G388" s="234">
        <f t="shared" si="51"/>
        <v>0</v>
      </c>
      <c r="H388">
        <v>115500.00000000001</v>
      </c>
      <c r="I388" s="261">
        <f t="shared" si="52"/>
        <v>0</v>
      </c>
      <c r="J388">
        <v>77850</v>
      </c>
      <c r="K388" s="234">
        <f t="shared" si="53"/>
        <v>0</v>
      </c>
      <c r="L388" s="143">
        <v>115500.00000000001</v>
      </c>
      <c r="M388" s="261">
        <f t="shared" si="54"/>
        <v>0</v>
      </c>
      <c r="N388" s="234">
        <v>77850</v>
      </c>
      <c r="O388" s="234">
        <f t="shared" si="55"/>
        <v>0</v>
      </c>
      <c r="P388" s="143">
        <v>116928.57142857143</v>
      </c>
      <c r="Q388" s="261">
        <f t="shared" si="56"/>
        <v>1428.5714285714203</v>
      </c>
      <c r="R388" s="281">
        <v>77850</v>
      </c>
      <c r="S388" s="234">
        <f t="shared" si="57"/>
        <v>0</v>
      </c>
      <c r="T388" s="22">
        <v>114785.71428571429</v>
      </c>
      <c r="U388" s="261">
        <f t="shared" si="58"/>
        <v>-2142.8571428571449</v>
      </c>
      <c r="V388" s="281">
        <v>77850</v>
      </c>
      <c r="W388" s="234">
        <f t="shared" si="59"/>
        <v>0</v>
      </c>
      <c r="X388" s="22">
        <v>114785.71428571429</v>
      </c>
      <c r="Y388" s="261">
        <f t="shared" si="60"/>
        <v>0</v>
      </c>
    </row>
    <row r="389" spans="1:25">
      <c r="A389" s="2"/>
      <c r="B389" s="71">
        <v>385</v>
      </c>
      <c r="C389" s="48" t="s">
        <v>404</v>
      </c>
      <c r="D389" s="234">
        <v>77850</v>
      </c>
      <c r="E389" s="143">
        <v>115500.00000000001</v>
      </c>
      <c r="F389">
        <v>77850</v>
      </c>
      <c r="G389" s="234">
        <f t="shared" si="51"/>
        <v>0</v>
      </c>
      <c r="H389">
        <v>115500.00000000001</v>
      </c>
      <c r="I389" s="261">
        <f t="shared" si="52"/>
        <v>0</v>
      </c>
      <c r="J389">
        <v>77850</v>
      </c>
      <c r="K389" s="234">
        <f t="shared" si="53"/>
        <v>0</v>
      </c>
      <c r="L389" s="143">
        <v>115500.00000000001</v>
      </c>
      <c r="M389" s="261">
        <f t="shared" si="54"/>
        <v>0</v>
      </c>
      <c r="N389" s="234">
        <v>77850</v>
      </c>
      <c r="O389" s="234">
        <f t="shared" si="55"/>
        <v>0</v>
      </c>
      <c r="P389" s="143">
        <v>116928.57142857143</v>
      </c>
      <c r="Q389" s="261">
        <f t="shared" si="56"/>
        <v>1428.5714285714203</v>
      </c>
      <c r="R389" s="281">
        <v>77850</v>
      </c>
      <c r="S389" s="234">
        <f t="shared" si="57"/>
        <v>0</v>
      </c>
      <c r="T389" s="22">
        <v>116928.57142857143</v>
      </c>
      <c r="U389" s="261">
        <f t="shared" si="58"/>
        <v>0</v>
      </c>
      <c r="V389" s="281">
        <v>77850</v>
      </c>
      <c r="W389" s="234">
        <f t="shared" si="59"/>
        <v>0</v>
      </c>
      <c r="X389" s="22">
        <v>118357.14285714287</v>
      </c>
      <c r="Y389" s="261">
        <f t="shared" si="60"/>
        <v>1428.5714285714348</v>
      </c>
    </row>
    <row r="390" spans="1:25">
      <c r="A390" s="2"/>
      <c r="B390" s="2">
        <v>386</v>
      </c>
      <c r="C390" s="48" t="s">
        <v>405</v>
      </c>
      <c r="D390" s="234">
        <v>69350</v>
      </c>
      <c r="E390" s="143">
        <v>103357.14285714287</v>
      </c>
      <c r="F390">
        <v>69350</v>
      </c>
      <c r="G390" s="234">
        <f t="shared" ref="G390:G453" si="61">F390-D390</f>
        <v>0</v>
      </c>
      <c r="H390">
        <v>103357.14285714287</v>
      </c>
      <c r="I390" s="261">
        <f t="shared" ref="I390:I453" si="62">H390-E390</f>
        <v>0</v>
      </c>
      <c r="J390">
        <v>69350</v>
      </c>
      <c r="K390" s="234">
        <f t="shared" ref="K390:K453" si="63">J390-F390</f>
        <v>0</v>
      </c>
      <c r="L390" s="143">
        <v>103357.14285714287</v>
      </c>
      <c r="M390" s="261">
        <f t="shared" ref="M390:M453" si="64">L390-H390</f>
        <v>0</v>
      </c>
      <c r="N390" s="234">
        <v>69350</v>
      </c>
      <c r="O390" s="234">
        <f t="shared" ref="O390:O453" si="65">N390-J390</f>
        <v>0</v>
      </c>
      <c r="P390" s="143">
        <v>104785.71428571429</v>
      </c>
      <c r="Q390" s="261">
        <f t="shared" ref="Q390:Q453" si="66">P390-L390</f>
        <v>1428.5714285714203</v>
      </c>
      <c r="R390" s="281">
        <v>69350</v>
      </c>
      <c r="S390" s="234">
        <f t="shared" ref="S390:S453" si="67">R390-N390</f>
        <v>0</v>
      </c>
      <c r="T390" s="22">
        <v>104785.71428571429</v>
      </c>
      <c r="U390" s="261">
        <f t="shared" ref="U390:U453" si="68">T390-P390</f>
        <v>0</v>
      </c>
      <c r="V390" s="281">
        <v>69350</v>
      </c>
      <c r="W390" s="234">
        <f t="shared" ref="W390:W453" si="69">V390-R390</f>
        <v>0</v>
      </c>
      <c r="X390" s="22">
        <v>106214.28571428572</v>
      </c>
      <c r="Y390" s="261">
        <f t="shared" ref="Y390:Y453" si="70">X390-T390</f>
        <v>1428.5714285714348</v>
      </c>
    </row>
    <row r="391" spans="1:25">
      <c r="A391" s="2"/>
      <c r="B391" s="71">
        <v>387</v>
      </c>
      <c r="C391" s="48" t="s">
        <v>406</v>
      </c>
      <c r="D391" s="234">
        <v>85700</v>
      </c>
      <c r="E391" s="143">
        <v>123857.14285714287</v>
      </c>
      <c r="F391">
        <v>85700</v>
      </c>
      <c r="G391" s="234">
        <f t="shared" si="61"/>
        <v>0</v>
      </c>
      <c r="H391">
        <v>125285.71428571429</v>
      </c>
      <c r="I391" s="261">
        <f t="shared" si="62"/>
        <v>1428.5714285714203</v>
      </c>
      <c r="J391">
        <v>85700</v>
      </c>
      <c r="K391" s="234">
        <f t="shared" si="63"/>
        <v>0</v>
      </c>
      <c r="L391" s="143">
        <v>125285.71428571429</v>
      </c>
      <c r="M391" s="261">
        <f t="shared" si="64"/>
        <v>0</v>
      </c>
      <c r="N391" s="234">
        <v>85700</v>
      </c>
      <c r="O391" s="234">
        <f t="shared" si="65"/>
        <v>0</v>
      </c>
      <c r="P391" s="143">
        <v>126000.00000000001</v>
      </c>
      <c r="Q391" s="261">
        <f t="shared" si="66"/>
        <v>714.28571428572468</v>
      </c>
      <c r="R391" s="281">
        <v>85700</v>
      </c>
      <c r="S391" s="234">
        <f t="shared" si="67"/>
        <v>0</v>
      </c>
      <c r="T391" s="22">
        <v>126000.00000000001</v>
      </c>
      <c r="U391" s="261">
        <f t="shared" si="68"/>
        <v>0</v>
      </c>
      <c r="V391" s="281">
        <v>85700</v>
      </c>
      <c r="W391" s="234">
        <f t="shared" si="69"/>
        <v>0</v>
      </c>
      <c r="X391" s="22">
        <v>126000.00000000001</v>
      </c>
      <c r="Y391" s="261">
        <f t="shared" si="70"/>
        <v>0</v>
      </c>
    </row>
    <row r="392" spans="1:25">
      <c r="A392" s="2"/>
      <c r="B392" s="71">
        <v>388</v>
      </c>
      <c r="C392" s="48" t="s">
        <v>408</v>
      </c>
      <c r="D392" s="234">
        <v>64600</v>
      </c>
      <c r="E392" s="143">
        <v>96571.42857142858</v>
      </c>
      <c r="F392">
        <v>64600</v>
      </c>
      <c r="G392" s="234">
        <f t="shared" si="61"/>
        <v>0</v>
      </c>
      <c r="H392">
        <v>96571.42857142858</v>
      </c>
      <c r="I392" s="261">
        <f t="shared" si="62"/>
        <v>0</v>
      </c>
      <c r="J392">
        <v>64600</v>
      </c>
      <c r="K392" s="234">
        <f t="shared" si="63"/>
        <v>0</v>
      </c>
      <c r="L392" s="143">
        <v>96571.42857142858</v>
      </c>
      <c r="M392" s="261">
        <f t="shared" si="64"/>
        <v>0</v>
      </c>
      <c r="N392" s="234">
        <v>64600</v>
      </c>
      <c r="O392" s="234">
        <f t="shared" si="65"/>
        <v>0</v>
      </c>
      <c r="P392" s="143">
        <v>98000</v>
      </c>
      <c r="Q392" s="261">
        <f t="shared" si="66"/>
        <v>1428.5714285714203</v>
      </c>
      <c r="R392" s="281">
        <v>64600</v>
      </c>
      <c r="S392" s="234">
        <f t="shared" si="67"/>
        <v>0</v>
      </c>
      <c r="T392" s="22">
        <v>98000</v>
      </c>
      <c r="U392" s="261">
        <f t="shared" si="68"/>
        <v>0</v>
      </c>
      <c r="V392" s="281">
        <v>64600</v>
      </c>
      <c r="W392" s="234">
        <f t="shared" si="69"/>
        <v>0</v>
      </c>
      <c r="X392" s="22">
        <v>99428.571428571435</v>
      </c>
      <c r="Y392" s="261">
        <f t="shared" si="70"/>
        <v>1428.5714285714348</v>
      </c>
    </row>
    <row r="393" spans="1:25">
      <c r="A393" s="2"/>
      <c r="B393" s="2">
        <v>389</v>
      </c>
      <c r="C393" s="48" t="s">
        <v>409</v>
      </c>
      <c r="D393" s="234">
        <v>77850</v>
      </c>
      <c r="E393" s="143">
        <v>115500.00000000001</v>
      </c>
      <c r="F393">
        <v>77850</v>
      </c>
      <c r="G393" s="234">
        <f t="shared" si="61"/>
        <v>0</v>
      </c>
      <c r="H393">
        <v>115500.00000000001</v>
      </c>
      <c r="I393" s="261">
        <f t="shared" si="62"/>
        <v>0</v>
      </c>
      <c r="J393">
        <v>77850</v>
      </c>
      <c r="K393" s="234">
        <f t="shared" si="63"/>
        <v>0</v>
      </c>
      <c r="L393" s="143">
        <v>115500.00000000001</v>
      </c>
      <c r="M393" s="261">
        <f t="shared" si="64"/>
        <v>0</v>
      </c>
      <c r="N393" s="234">
        <v>77850</v>
      </c>
      <c r="O393" s="234">
        <f t="shared" si="65"/>
        <v>0</v>
      </c>
      <c r="P393" s="143">
        <v>116928.57142857143</v>
      </c>
      <c r="Q393" s="261">
        <f t="shared" si="66"/>
        <v>1428.5714285714203</v>
      </c>
      <c r="R393" s="281">
        <v>77850</v>
      </c>
      <c r="S393" s="234">
        <f t="shared" si="67"/>
        <v>0</v>
      </c>
      <c r="T393" s="22">
        <v>114785.71428571429</v>
      </c>
      <c r="U393" s="261">
        <f t="shared" si="68"/>
        <v>-2142.8571428571449</v>
      </c>
      <c r="V393" s="281">
        <v>77850</v>
      </c>
      <c r="W393" s="234">
        <f t="shared" si="69"/>
        <v>0</v>
      </c>
      <c r="X393" s="22">
        <v>114785.71428571429</v>
      </c>
      <c r="Y393" s="261">
        <f t="shared" si="70"/>
        <v>0</v>
      </c>
    </row>
    <row r="394" spans="1:25">
      <c r="A394" s="2"/>
      <c r="B394" s="71">
        <v>390</v>
      </c>
      <c r="C394" s="48" t="s">
        <v>410</v>
      </c>
      <c r="D394" s="234">
        <v>64200</v>
      </c>
      <c r="E394" s="143">
        <v>96000</v>
      </c>
      <c r="F394">
        <v>64200</v>
      </c>
      <c r="G394" s="234">
        <f t="shared" si="61"/>
        <v>0</v>
      </c>
      <c r="H394">
        <v>96000</v>
      </c>
      <c r="I394" s="261">
        <f t="shared" si="62"/>
        <v>0</v>
      </c>
      <c r="J394">
        <v>64200</v>
      </c>
      <c r="K394" s="234">
        <f t="shared" si="63"/>
        <v>0</v>
      </c>
      <c r="L394" s="143">
        <v>96000</v>
      </c>
      <c r="M394" s="261">
        <f t="shared" si="64"/>
        <v>0</v>
      </c>
      <c r="N394" s="234">
        <v>64200</v>
      </c>
      <c r="O394" s="234">
        <f t="shared" si="65"/>
        <v>0</v>
      </c>
      <c r="P394" s="143">
        <v>97428.571428571435</v>
      </c>
      <c r="Q394" s="261">
        <f t="shared" si="66"/>
        <v>1428.5714285714348</v>
      </c>
      <c r="R394" s="281">
        <v>64200</v>
      </c>
      <c r="S394" s="234">
        <f t="shared" si="67"/>
        <v>0</v>
      </c>
      <c r="T394" s="22">
        <v>97428.571428571435</v>
      </c>
      <c r="U394" s="261">
        <f t="shared" si="68"/>
        <v>0</v>
      </c>
      <c r="V394" s="281">
        <v>64200</v>
      </c>
      <c r="W394" s="234">
        <f t="shared" si="69"/>
        <v>0</v>
      </c>
      <c r="X394" s="22">
        <v>98857.14285714287</v>
      </c>
      <c r="Y394" s="261">
        <f t="shared" si="70"/>
        <v>1428.5714285714348</v>
      </c>
    </row>
    <row r="395" spans="1:25">
      <c r="A395" s="2"/>
      <c r="B395" s="71">
        <v>391</v>
      </c>
      <c r="C395" s="48" t="s">
        <v>411</v>
      </c>
      <c r="D395" s="234">
        <v>84900</v>
      </c>
      <c r="E395" s="143">
        <v>119857.14285714287</v>
      </c>
      <c r="F395">
        <v>84900</v>
      </c>
      <c r="G395" s="234">
        <f t="shared" si="61"/>
        <v>0</v>
      </c>
      <c r="H395">
        <v>122714.28571428572</v>
      </c>
      <c r="I395" s="261">
        <f t="shared" si="62"/>
        <v>2857.1428571428551</v>
      </c>
      <c r="J395">
        <v>84900</v>
      </c>
      <c r="K395" s="234">
        <f t="shared" si="63"/>
        <v>0</v>
      </c>
      <c r="L395" s="143">
        <v>122714.28571428572</v>
      </c>
      <c r="M395" s="261">
        <f t="shared" si="64"/>
        <v>0</v>
      </c>
      <c r="N395" s="234">
        <v>84900</v>
      </c>
      <c r="O395" s="234">
        <f t="shared" si="65"/>
        <v>0</v>
      </c>
      <c r="P395" s="143">
        <v>125571.42857142858</v>
      </c>
      <c r="Q395" s="261">
        <f t="shared" si="66"/>
        <v>2857.1428571428551</v>
      </c>
      <c r="R395" s="281">
        <v>84900</v>
      </c>
      <c r="S395" s="234">
        <f t="shared" si="67"/>
        <v>0</v>
      </c>
      <c r="T395" s="22">
        <v>125571.42857142858</v>
      </c>
      <c r="U395" s="261">
        <f t="shared" si="68"/>
        <v>0</v>
      </c>
      <c r="V395" s="281">
        <v>84900</v>
      </c>
      <c r="W395" s="234">
        <f t="shared" si="69"/>
        <v>0</v>
      </c>
      <c r="X395" s="22">
        <v>127000.00000000001</v>
      </c>
      <c r="Y395" s="261">
        <f t="shared" si="70"/>
        <v>1428.5714285714348</v>
      </c>
    </row>
    <row r="396" spans="1:25">
      <c r="A396" s="2"/>
      <c r="B396" s="2">
        <v>392</v>
      </c>
      <c r="C396" s="48" t="s">
        <v>412</v>
      </c>
      <c r="D396" s="234">
        <v>69600</v>
      </c>
      <c r="E396" s="143">
        <v>98000</v>
      </c>
      <c r="F396">
        <v>69600</v>
      </c>
      <c r="G396" s="234">
        <f t="shared" si="61"/>
        <v>0</v>
      </c>
      <c r="H396">
        <v>100857.14285714287</v>
      </c>
      <c r="I396" s="261">
        <f t="shared" si="62"/>
        <v>2857.1428571428696</v>
      </c>
      <c r="J396">
        <v>69600</v>
      </c>
      <c r="K396" s="234">
        <f t="shared" si="63"/>
        <v>0</v>
      </c>
      <c r="L396" s="143">
        <v>100857.14285714287</v>
      </c>
      <c r="M396" s="261">
        <f t="shared" si="64"/>
        <v>0</v>
      </c>
      <c r="N396" s="234">
        <v>69600</v>
      </c>
      <c r="O396" s="234">
        <f t="shared" si="65"/>
        <v>0</v>
      </c>
      <c r="P396" s="143">
        <v>103714.28571428572</v>
      </c>
      <c r="Q396" s="261">
        <f t="shared" si="66"/>
        <v>2857.1428571428551</v>
      </c>
      <c r="R396" s="281">
        <v>69600</v>
      </c>
      <c r="S396" s="234">
        <f t="shared" si="67"/>
        <v>0</v>
      </c>
      <c r="T396" s="22">
        <v>103714.28571428572</v>
      </c>
      <c r="U396" s="261">
        <f t="shared" si="68"/>
        <v>0</v>
      </c>
      <c r="V396" s="281">
        <v>69600</v>
      </c>
      <c r="W396" s="234">
        <f t="shared" si="69"/>
        <v>0</v>
      </c>
      <c r="X396" s="22">
        <v>105142.85714285714</v>
      </c>
      <c r="Y396" s="261">
        <f t="shared" si="70"/>
        <v>1428.5714285714203</v>
      </c>
    </row>
    <row r="397" spans="1:25">
      <c r="A397" s="2"/>
      <c r="B397" s="71">
        <v>393</v>
      </c>
      <c r="C397" s="48" t="s">
        <v>413</v>
      </c>
      <c r="D397" s="234">
        <v>73500</v>
      </c>
      <c r="E397" s="143">
        <v>103571.42857142858</v>
      </c>
      <c r="F397">
        <v>73500</v>
      </c>
      <c r="G397" s="234">
        <f t="shared" si="61"/>
        <v>0</v>
      </c>
      <c r="H397">
        <v>106428.57142857143</v>
      </c>
      <c r="I397" s="261">
        <f t="shared" si="62"/>
        <v>2857.1428571428551</v>
      </c>
      <c r="J397">
        <v>73500</v>
      </c>
      <c r="K397" s="234">
        <f t="shared" si="63"/>
        <v>0</v>
      </c>
      <c r="L397" s="143">
        <v>106428.57142857143</v>
      </c>
      <c r="M397" s="261">
        <f t="shared" si="64"/>
        <v>0</v>
      </c>
      <c r="N397" s="234">
        <v>73500</v>
      </c>
      <c r="O397" s="234">
        <f t="shared" si="65"/>
        <v>0</v>
      </c>
      <c r="P397" s="143">
        <v>109285.71428571429</v>
      </c>
      <c r="Q397" s="261">
        <f t="shared" si="66"/>
        <v>2857.1428571428551</v>
      </c>
      <c r="R397" s="281">
        <v>73500</v>
      </c>
      <c r="S397" s="234">
        <f t="shared" si="67"/>
        <v>0</v>
      </c>
      <c r="T397" s="22">
        <v>109285.71428571429</v>
      </c>
      <c r="U397" s="261">
        <f t="shared" si="68"/>
        <v>0</v>
      </c>
      <c r="V397" s="281">
        <v>73500</v>
      </c>
      <c r="W397" s="234">
        <f t="shared" si="69"/>
        <v>0</v>
      </c>
      <c r="X397" s="22">
        <v>110714.28571428572</v>
      </c>
      <c r="Y397" s="261">
        <f t="shared" si="70"/>
        <v>1428.5714285714348</v>
      </c>
    </row>
    <row r="398" spans="1:25">
      <c r="A398" s="2"/>
      <c r="B398" s="71">
        <v>394</v>
      </c>
      <c r="C398" s="48" t="s">
        <v>414</v>
      </c>
      <c r="D398" s="234">
        <v>65400</v>
      </c>
      <c r="E398" s="143">
        <v>97714.285714285725</v>
      </c>
      <c r="F398">
        <v>65400</v>
      </c>
      <c r="G398" s="234">
        <f t="shared" si="61"/>
        <v>0</v>
      </c>
      <c r="H398">
        <v>97714.285714285725</v>
      </c>
      <c r="I398" s="261">
        <f t="shared" si="62"/>
        <v>0</v>
      </c>
      <c r="J398">
        <v>65400</v>
      </c>
      <c r="K398" s="234">
        <f t="shared" si="63"/>
        <v>0</v>
      </c>
      <c r="L398" s="143">
        <v>97714.285714285725</v>
      </c>
      <c r="M398" s="261">
        <f t="shared" si="64"/>
        <v>0</v>
      </c>
      <c r="N398" s="234">
        <v>65400</v>
      </c>
      <c r="O398" s="234">
        <f t="shared" si="65"/>
        <v>0</v>
      </c>
      <c r="P398" s="143">
        <v>99142.857142857145</v>
      </c>
      <c r="Q398" s="261">
        <f t="shared" si="66"/>
        <v>1428.5714285714203</v>
      </c>
      <c r="R398" s="281">
        <v>65400</v>
      </c>
      <c r="S398" s="234">
        <f t="shared" si="67"/>
        <v>0</v>
      </c>
      <c r="T398" s="22">
        <v>99142.857142857145</v>
      </c>
      <c r="U398" s="261">
        <f t="shared" si="68"/>
        <v>0</v>
      </c>
      <c r="V398" s="281">
        <v>65400</v>
      </c>
      <c r="W398" s="234">
        <f t="shared" si="69"/>
        <v>0</v>
      </c>
      <c r="X398" s="22">
        <v>100571.42857142858</v>
      </c>
      <c r="Y398" s="261">
        <f t="shared" si="70"/>
        <v>1428.5714285714348</v>
      </c>
    </row>
    <row r="399" spans="1:25">
      <c r="A399" s="2"/>
      <c r="B399" s="2">
        <v>395</v>
      </c>
      <c r="C399" s="48" t="s">
        <v>415</v>
      </c>
      <c r="D399" s="234">
        <v>65400</v>
      </c>
      <c r="E399" s="143">
        <v>97714.285714285725</v>
      </c>
      <c r="F399">
        <v>65400</v>
      </c>
      <c r="G399" s="234">
        <f t="shared" si="61"/>
        <v>0</v>
      </c>
      <c r="H399">
        <v>97714.285714285725</v>
      </c>
      <c r="I399" s="261">
        <f t="shared" si="62"/>
        <v>0</v>
      </c>
      <c r="J399">
        <v>65400</v>
      </c>
      <c r="K399" s="234">
        <f t="shared" si="63"/>
        <v>0</v>
      </c>
      <c r="L399" s="143">
        <v>97714.285714285725</v>
      </c>
      <c r="M399" s="261">
        <f t="shared" si="64"/>
        <v>0</v>
      </c>
      <c r="N399" s="234">
        <v>65400</v>
      </c>
      <c r="O399" s="234">
        <f t="shared" si="65"/>
        <v>0</v>
      </c>
      <c r="P399" s="143">
        <v>99142.857142857145</v>
      </c>
      <c r="Q399" s="261">
        <f t="shared" si="66"/>
        <v>1428.5714285714203</v>
      </c>
      <c r="R399" s="281">
        <v>65400</v>
      </c>
      <c r="S399" s="234">
        <f t="shared" si="67"/>
        <v>0</v>
      </c>
      <c r="T399" s="22">
        <v>99142.857142857145</v>
      </c>
      <c r="U399" s="261">
        <f t="shared" si="68"/>
        <v>0</v>
      </c>
      <c r="V399" s="281">
        <v>65400</v>
      </c>
      <c r="W399" s="234">
        <f t="shared" si="69"/>
        <v>0</v>
      </c>
      <c r="X399" s="22">
        <v>100571.42857142858</v>
      </c>
      <c r="Y399" s="261">
        <f t="shared" si="70"/>
        <v>1428.5714285714348</v>
      </c>
    </row>
    <row r="400" spans="1:25">
      <c r="A400" s="2"/>
      <c r="B400" s="71">
        <v>396</v>
      </c>
      <c r="C400" s="173" t="s">
        <v>713</v>
      </c>
      <c r="D400" s="234">
        <v>63600</v>
      </c>
      <c r="E400" s="143">
        <v>95142.857142857145</v>
      </c>
      <c r="F400">
        <v>63600</v>
      </c>
      <c r="G400" s="234">
        <f t="shared" si="61"/>
        <v>0</v>
      </c>
      <c r="H400">
        <v>95142.857142857145</v>
      </c>
      <c r="I400" s="261">
        <f t="shared" si="62"/>
        <v>0</v>
      </c>
      <c r="J400">
        <v>63600</v>
      </c>
      <c r="K400" s="234">
        <f t="shared" si="63"/>
        <v>0</v>
      </c>
      <c r="L400" s="143">
        <v>95142.857142857145</v>
      </c>
      <c r="M400" s="261">
        <f t="shared" si="64"/>
        <v>0</v>
      </c>
      <c r="N400" s="234">
        <v>63600</v>
      </c>
      <c r="O400" s="234">
        <f t="shared" si="65"/>
        <v>0</v>
      </c>
      <c r="P400" s="143">
        <v>96571.42857142858</v>
      </c>
      <c r="Q400" s="261">
        <f t="shared" si="66"/>
        <v>1428.5714285714348</v>
      </c>
      <c r="R400" s="281">
        <v>63600</v>
      </c>
      <c r="S400" s="234">
        <f t="shared" si="67"/>
        <v>0</v>
      </c>
      <c r="T400" s="22">
        <v>92285.71428571429</v>
      </c>
      <c r="U400" s="261">
        <f t="shared" si="68"/>
        <v>-4285.7142857142899</v>
      </c>
      <c r="V400" s="281">
        <v>63600</v>
      </c>
      <c r="W400" s="234">
        <f t="shared" si="69"/>
        <v>0</v>
      </c>
      <c r="X400" s="22">
        <v>92285.71428571429</v>
      </c>
      <c r="Y400" s="261">
        <f t="shared" si="70"/>
        <v>0</v>
      </c>
    </row>
    <row r="401" spans="1:25">
      <c r="A401" s="2"/>
      <c r="B401" s="71">
        <v>397</v>
      </c>
      <c r="C401" s="48" t="s">
        <v>416</v>
      </c>
      <c r="D401" s="234">
        <v>87000</v>
      </c>
      <c r="E401" s="143">
        <v>128571.42857142858</v>
      </c>
      <c r="F401">
        <v>87000</v>
      </c>
      <c r="G401" s="234">
        <f t="shared" si="61"/>
        <v>0</v>
      </c>
      <c r="H401">
        <v>128571.42857142858</v>
      </c>
      <c r="I401" s="261">
        <f t="shared" si="62"/>
        <v>0</v>
      </c>
      <c r="J401">
        <v>87000</v>
      </c>
      <c r="K401" s="234">
        <f t="shared" si="63"/>
        <v>0</v>
      </c>
      <c r="L401" s="143">
        <v>128571.42857142858</v>
      </c>
      <c r="M401" s="261">
        <f t="shared" si="64"/>
        <v>0</v>
      </c>
      <c r="N401" s="234">
        <v>87000</v>
      </c>
      <c r="O401" s="234">
        <f t="shared" si="65"/>
        <v>0</v>
      </c>
      <c r="P401" s="143">
        <v>130000.00000000001</v>
      </c>
      <c r="Q401" s="261">
        <f t="shared" si="66"/>
        <v>1428.5714285714348</v>
      </c>
      <c r="R401" s="281">
        <v>87000</v>
      </c>
      <c r="S401" s="234">
        <f t="shared" si="67"/>
        <v>0</v>
      </c>
      <c r="T401" s="22">
        <v>130000.00000000001</v>
      </c>
      <c r="U401" s="261">
        <f t="shared" si="68"/>
        <v>0</v>
      </c>
      <c r="V401" s="281">
        <v>87000</v>
      </c>
      <c r="W401" s="234">
        <f t="shared" si="69"/>
        <v>0</v>
      </c>
      <c r="X401" s="22">
        <v>131428.57142857145</v>
      </c>
      <c r="Y401" s="261">
        <f t="shared" si="70"/>
        <v>1428.5714285714348</v>
      </c>
    </row>
    <row r="402" spans="1:25">
      <c r="A402" s="2"/>
      <c r="B402" s="2">
        <v>398</v>
      </c>
      <c r="C402" s="48" t="s">
        <v>417</v>
      </c>
      <c r="D402" s="234">
        <v>64600</v>
      </c>
      <c r="E402" s="143">
        <v>96571.42857142858</v>
      </c>
      <c r="F402">
        <v>64600</v>
      </c>
      <c r="G402" s="234">
        <f t="shared" si="61"/>
        <v>0</v>
      </c>
      <c r="H402">
        <v>96571.42857142858</v>
      </c>
      <c r="I402" s="261">
        <f t="shared" si="62"/>
        <v>0</v>
      </c>
      <c r="J402">
        <v>64600</v>
      </c>
      <c r="K402" s="234">
        <f t="shared" si="63"/>
        <v>0</v>
      </c>
      <c r="L402" s="143">
        <v>96571.42857142858</v>
      </c>
      <c r="M402" s="261">
        <f t="shared" si="64"/>
        <v>0</v>
      </c>
      <c r="N402" s="234">
        <v>64600</v>
      </c>
      <c r="O402" s="234">
        <f t="shared" si="65"/>
        <v>0</v>
      </c>
      <c r="P402" s="143">
        <v>98000</v>
      </c>
      <c r="Q402" s="261">
        <f t="shared" si="66"/>
        <v>1428.5714285714203</v>
      </c>
      <c r="R402" s="281">
        <v>64600</v>
      </c>
      <c r="S402" s="234">
        <f t="shared" si="67"/>
        <v>0</v>
      </c>
      <c r="T402" s="22">
        <v>98000</v>
      </c>
      <c r="U402" s="261">
        <f t="shared" si="68"/>
        <v>0</v>
      </c>
      <c r="V402" s="281">
        <v>64600</v>
      </c>
      <c r="W402" s="234">
        <f t="shared" si="69"/>
        <v>0</v>
      </c>
      <c r="X402" s="22">
        <v>99428.571428571435</v>
      </c>
      <c r="Y402" s="261">
        <f t="shared" si="70"/>
        <v>1428.5714285714348</v>
      </c>
    </row>
    <row r="403" spans="1:25">
      <c r="A403" s="2"/>
      <c r="B403" s="71">
        <v>399</v>
      </c>
      <c r="C403" s="48" t="s">
        <v>418</v>
      </c>
      <c r="D403" s="234">
        <v>73100</v>
      </c>
      <c r="E403" s="143">
        <v>108714.28571428572</v>
      </c>
      <c r="F403">
        <v>73100</v>
      </c>
      <c r="G403" s="234">
        <f t="shared" si="61"/>
        <v>0</v>
      </c>
      <c r="H403">
        <v>108714.28571428572</v>
      </c>
      <c r="I403" s="261">
        <f t="shared" si="62"/>
        <v>0</v>
      </c>
      <c r="J403">
        <v>73100</v>
      </c>
      <c r="K403" s="234">
        <f t="shared" si="63"/>
        <v>0</v>
      </c>
      <c r="L403" s="143">
        <v>108714.28571428572</v>
      </c>
      <c r="M403" s="261">
        <f t="shared" si="64"/>
        <v>0</v>
      </c>
      <c r="N403" s="234">
        <v>73100</v>
      </c>
      <c r="O403" s="234">
        <f t="shared" si="65"/>
        <v>0</v>
      </c>
      <c r="P403" s="143">
        <v>110142.85714285714</v>
      </c>
      <c r="Q403" s="261">
        <f t="shared" si="66"/>
        <v>1428.5714285714203</v>
      </c>
      <c r="R403" s="281">
        <v>73100</v>
      </c>
      <c r="S403" s="234">
        <f t="shared" si="67"/>
        <v>0</v>
      </c>
      <c r="T403" s="22">
        <v>110142.85714285714</v>
      </c>
      <c r="U403" s="261">
        <f t="shared" si="68"/>
        <v>0</v>
      </c>
      <c r="V403" s="281">
        <v>73100</v>
      </c>
      <c r="W403" s="234">
        <f t="shared" si="69"/>
        <v>0</v>
      </c>
      <c r="X403" s="22">
        <v>111571.42857142858</v>
      </c>
      <c r="Y403" s="261">
        <f t="shared" si="70"/>
        <v>1428.5714285714348</v>
      </c>
    </row>
    <row r="404" spans="1:25">
      <c r="A404" s="2"/>
      <c r="B404" s="71">
        <v>400</v>
      </c>
      <c r="C404" s="173" t="s">
        <v>714</v>
      </c>
      <c r="D404" s="234">
        <v>66600</v>
      </c>
      <c r="E404" s="143">
        <v>99428.571428571435</v>
      </c>
      <c r="F404">
        <v>66600</v>
      </c>
      <c r="G404" s="234">
        <f t="shared" si="61"/>
        <v>0</v>
      </c>
      <c r="H404">
        <v>99428.571428571435</v>
      </c>
      <c r="I404" s="261">
        <f t="shared" si="62"/>
        <v>0</v>
      </c>
      <c r="J404">
        <v>66600</v>
      </c>
      <c r="K404" s="234">
        <f t="shared" si="63"/>
        <v>0</v>
      </c>
      <c r="L404" s="143">
        <v>99428.571428571435</v>
      </c>
      <c r="M404" s="261">
        <f t="shared" si="64"/>
        <v>0</v>
      </c>
      <c r="N404" s="234">
        <v>66600</v>
      </c>
      <c r="O404" s="234">
        <f t="shared" si="65"/>
        <v>0</v>
      </c>
      <c r="P404" s="143">
        <v>100857.14285714287</v>
      </c>
      <c r="Q404" s="261">
        <f t="shared" si="66"/>
        <v>1428.5714285714348</v>
      </c>
      <c r="R404" s="281">
        <v>66600</v>
      </c>
      <c r="S404" s="234">
        <f t="shared" si="67"/>
        <v>0</v>
      </c>
      <c r="T404" s="22">
        <v>99428.571428571435</v>
      </c>
      <c r="U404" s="261">
        <f t="shared" si="68"/>
        <v>-1428.5714285714348</v>
      </c>
      <c r="V404" s="281">
        <v>66600</v>
      </c>
      <c r="W404" s="234">
        <f t="shared" si="69"/>
        <v>0</v>
      </c>
      <c r="X404" s="22">
        <v>99428.571428571435</v>
      </c>
      <c r="Y404" s="261">
        <f t="shared" si="70"/>
        <v>0</v>
      </c>
    </row>
    <row r="405" spans="1:25">
      <c r="A405" s="2"/>
      <c r="B405" s="2">
        <v>401</v>
      </c>
      <c r="C405" s="173" t="s">
        <v>715</v>
      </c>
      <c r="D405" s="234">
        <v>64200</v>
      </c>
      <c r="E405" s="143">
        <v>96000</v>
      </c>
      <c r="F405">
        <v>64200</v>
      </c>
      <c r="G405" s="234">
        <f t="shared" si="61"/>
        <v>0</v>
      </c>
      <c r="H405">
        <v>96000</v>
      </c>
      <c r="I405" s="261">
        <f t="shared" si="62"/>
        <v>0</v>
      </c>
      <c r="J405">
        <v>64200</v>
      </c>
      <c r="K405" s="234">
        <f t="shared" si="63"/>
        <v>0</v>
      </c>
      <c r="L405" s="143">
        <v>96000</v>
      </c>
      <c r="M405" s="261">
        <f t="shared" si="64"/>
        <v>0</v>
      </c>
      <c r="N405" s="234">
        <v>64200</v>
      </c>
      <c r="O405" s="234">
        <f t="shared" si="65"/>
        <v>0</v>
      </c>
      <c r="P405" s="143">
        <v>97428.571428571435</v>
      </c>
      <c r="Q405" s="261">
        <f t="shared" si="66"/>
        <v>1428.5714285714348</v>
      </c>
      <c r="R405" s="281">
        <v>64200</v>
      </c>
      <c r="S405" s="234">
        <f t="shared" si="67"/>
        <v>0</v>
      </c>
      <c r="T405" s="22">
        <v>96000</v>
      </c>
      <c r="U405" s="261">
        <f t="shared" si="68"/>
        <v>-1428.5714285714348</v>
      </c>
      <c r="V405" s="281">
        <v>64200</v>
      </c>
      <c r="W405" s="234">
        <f t="shared" si="69"/>
        <v>0</v>
      </c>
      <c r="X405" s="22">
        <v>96000</v>
      </c>
      <c r="Y405" s="261">
        <f t="shared" si="70"/>
        <v>0</v>
      </c>
    </row>
    <row r="406" spans="1:25">
      <c r="A406" s="2"/>
      <c r="B406" s="71">
        <v>402</v>
      </c>
      <c r="C406" s="48" t="s">
        <v>419</v>
      </c>
      <c r="D406" s="234">
        <v>80350</v>
      </c>
      <c r="E406" s="143">
        <v>119071.42857142858</v>
      </c>
      <c r="F406">
        <v>80350</v>
      </c>
      <c r="G406" s="234">
        <f t="shared" si="61"/>
        <v>0</v>
      </c>
      <c r="H406">
        <v>119071.42857142858</v>
      </c>
      <c r="I406" s="261">
        <f t="shared" si="62"/>
        <v>0</v>
      </c>
      <c r="J406">
        <v>80350</v>
      </c>
      <c r="K406" s="234">
        <f t="shared" si="63"/>
        <v>0</v>
      </c>
      <c r="L406" s="143">
        <v>119071.42857142858</v>
      </c>
      <c r="M406" s="261">
        <f t="shared" si="64"/>
        <v>0</v>
      </c>
      <c r="N406" s="234">
        <v>80350</v>
      </c>
      <c r="O406" s="234">
        <f t="shared" si="65"/>
        <v>0</v>
      </c>
      <c r="P406" s="143">
        <v>120500.00000000001</v>
      </c>
      <c r="Q406" s="261">
        <f t="shared" si="66"/>
        <v>1428.5714285714348</v>
      </c>
      <c r="R406" s="281">
        <v>80350</v>
      </c>
      <c r="S406" s="234">
        <f t="shared" si="67"/>
        <v>0</v>
      </c>
      <c r="T406" s="22">
        <v>120500.00000000001</v>
      </c>
      <c r="U406" s="261">
        <f t="shared" si="68"/>
        <v>0</v>
      </c>
      <c r="V406" s="281">
        <v>80350</v>
      </c>
      <c r="W406" s="234">
        <f t="shared" si="69"/>
        <v>0</v>
      </c>
      <c r="X406" s="22">
        <v>121928.57142857143</v>
      </c>
      <c r="Y406" s="261">
        <f t="shared" si="70"/>
        <v>1428.5714285714203</v>
      </c>
    </row>
    <row r="407" spans="1:25">
      <c r="A407" s="2"/>
      <c r="B407" s="71">
        <v>403</v>
      </c>
      <c r="C407" s="48" t="s">
        <v>420</v>
      </c>
      <c r="D407" s="234">
        <v>72100</v>
      </c>
      <c r="E407" s="143">
        <v>107285.71428571429</v>
      </c>
      <c r="F407">
        <v>72100</v>
      </c>
      <c r="G407" s="234">
        <f t="shared" si="61"/>
        <v>0</v>
      </c>
      <c r="H407">
        <v>107285.71428571429</v>
      </c>
      <c r="I407" s="261">
        <f t="shared" si="62"/>
        <v>0</v>
      </c>
      <c r="J407">
        <v>72100</v>
      </c>
      <c r="K407" s="234">
        <f t="shared" si="63"/>
        <v>0</v>
      </c>
      <c r="L407" s="143">
        <v>107285.71428571429</v>
      </c>
      <c r="M407" s="261">
        <f t="shared" si="64"/>
        <v>0</v>
      </c>
      <c r="N407" s="234">
        <v>72100</v>
      </c>
      <c r="O407" s="234">
        <f t="shared" si="65"/>
        <v>0</v>
      </c>
      <c r="P407" s="143">
        <v>108714.28571428572</v>
      </c>
      <c r="Q407" s="261">
        <f t="shared" si="66"/>
        <v>1428.5714285714348</v>
      </c>
      <c r="R407" s="281">
        <v>72100</v>
      </c>
      <c r="S407" s="234">
        <f t="shared" si="67"/>
        <v>0</v>
      </c>
      <c r="T407" s="22">
        <v>108714.28571428572</v>
      </c>
      <c r="U407" s="261">
        <f t="shared" si="68"/>
        <v>0</v>
      </c>
      <c r="V407" s="281">
        <v>72100</v>
      </c>
      <c r="W407" s="234">
        <f t="shared" si="69"/>
        <v>0</v>
      </c>
      <c r="X407" s="22">
        <v>110142.85714285714</v>
      </c>
      <c r="Y407" s="261">
        <f t="shared" si="70"/>
        <v>1428.5714285714203</v>
      </c>
    </row>
    <row r="408" spans="1:25">
      <c r="A408" s="2"/>
      <c r="B408" s="2">
        <v>404</v>
      </c>
      <c r="C408" s="48" t="s">
        <v>421</v>
      </c>
      <c r="D408" s="234">
        <v>59900</v>
      </c>
      <c r="E408" s="143">
        <v>89857.14285714287</v>
      </c>
      <c r="F408">
        <v>59900</v>
      </c>
      <c r="G408" s="234">
        <f t="shared" si="61"/>
        <v>0</v>
      </c>
      <c r="H408">
        <v>89857.14285714287</v>
      </c>
      <c r="I408" s="261">
        <f t="shared" si="62"/>
        <v>0</v>
      </c>
      <c r="J408">
        <v>59900</v>
      </c>
      <c r="K408" s="234">
        <f t="shared" si="63"/>
        <v>0</v>
      </c>
      <c r="L408" s="143">
        <v>89857.14285714287</v>
      </c>
      <c r="M408" s="261">
        <f t="shared" si="64"/>
        <v>0</v>
      </c>
      <c r="N408" s="234">
        <v>59900</v>
      </c>
      <c r="O408" s="234">
        <f t="shared" si="65"/>
        <v>0</v>
      </c>
      <c r="P408" s="143">
        <v>91285.71428571429</v>
      </c>
      <c r="Q408" s="261">
        <f t="shared" si="66"/>
        <v>1428.5714285714203</v>
      </c>
      <c r="R408" s="281">
        <v>59900</v>
      </c>
      <c r="S408" s="234">
        <f t="shared" si="67"/>
        <v>0</v>
      </c>
      <c r="T408" s="22">
        <v>91285.71428571429</v>
      </c>
      <c r="U408" s="261">
        <f t="shared" si="68"/>
        <v>0</v>
      </c>
      <c r="V408" s="281">
        <v>59900</v>
      </c>
      <c r="W408" s="234">
        <f t="shared" si="69"/>
        <v>0</v>
      </c>
      <c r="X408" s="22">
        <v>92714.285714285725</v>
      </c>
      <c r="Y408" s="261">
        <f t="shared" si="70"/>
        <v>1428.5714285714348</v>
      </c>
    </row>
    <row r="409" spans="1:25">
      <c r="A409" s="2"/>
      <c r="B409" s="71">
        <v>405</v>
      </c>
      <c r="C409" s="48" t="s">
        <v>422</v>
      </c>
      <c r="D409" s="234">
        <v>71300</v>
      </c>
      <c r="E409" s="143">
        <v>106142.85714285714</v>
      </c>
      <c r="F409">
        <v>71300</v>
      </c>
      <c r="G409" s="234">
        <f t="shared" si="61"/>
        <v>0</v>
      </c>
      <c r="H409">
        <v>106142.85714285714</v>
      </c>
      <c r="I409" s="261">
        <f t="shared" si="62"/>
        <v>0</v>
      </c>
      <c r="J409">
        <v>71300</v>
      </c>
      <c r="K409" s="234">
        <f t="shared" si="63"/>
        <v>0</v>
      </c>
      <c r="L409" s="143">
        <v>106142.85714285714</v>
      </c>
      <c r="M409" s="261">
        <f t="shared" si="64"/>
        <v>0</v>
      </c>
      <c r="N409" s="234">
        <v>71300</v>
      </c>
      <c r="O409" s="234">
        <f t="shared" si="65"/>
        <v>0</v>
      </c>
      <c r="P409" s="143">
        <v>107571.42857142858</v>
      </c>
      <c r="Q409" s="261">
        <f t="shared" si="66"/>
        <v>1428.5714285714348</v>
      </c>
      <c r="R409" s="281">
        <v>71300</v>
      </c>
      <c r="S409" s="234">
        <f t="shared" si="67"/>
        <v>0</v>
      </c>
      <c r="T409" s="22">
        <v>107571.42857142858</v>
      </c>
      <c r="U409" s="261">
        <f t="shared" si="68"/>
        <v>0</v>
      </c>
      <c r="V409" s="281">
        <v>71300</v>
      </c>
      <c r="W409" s="234">
        <f t="shared" si="69"/>
        <v>0</v>
      </c>
      <c r="X409" s="22">
        <v>109000</v>
      </c>
      <c r="Y409" s="261">
        <f t="shared" si="70"/>
        <v>1428.5714285714203</v>
      </c>
    </row>
    <row r="410" spans="1:25">
      <c r="A410" s="2"/>
      <c r="B410" s="71">
        <v>406</v>
      </c>
      <c r="C410" s="48" t="s">
        <v>423</v>
      </c>
      <c r="D410" s="234">
        <v>72400</v>
      </c>
      <c r="E410" s="143">
        <v>102000</v>
      </c>
      <c r="F410">
        <v>72400</v>
      </c>
      <c r="G410" s="234">
        <f t="shared" si="61"/>
        <v>0</v>
      </c>
      <c r="H410">
        <v>104857.14285714287</v>
      </c>
      <c r="I410" s="261">
        <f t="shared" si="62"/>
        <v>2857.1428571428696</v>
      </c>
      <c r="J410">
        <v>72400</v>
      </c>
      <c r="K410" s="234">
        <f t="shared" si="63"/>
        <v>0</v>
      </c>
      <c r="L410" s="143">
        <v>104857.14285714287</v>
      </c>
      <c r="M410" s="261">
        <f t="shared" si="64"/>
        <v>0</v>
      </c>
      <c r="N410" s="234">
        <v>72400</v>
      </c>
      <c r="O410" s="234">
        <f t="shared" si="65"/>
        <v>0</v>
      </c>
      <c r="P410" s="143">
        <v>107714.28571428572</v>
      </c>
      <c r="Q410" s="261">
        <f t="shared" si="66"/>
        <v>2857.1428571428551</v>
      </c>
      <c r="R410" s="281">
        <v>72400</v>
      </c>
      <c r="S410" s="234">
        <f t="shared" si="67"/>
        <v>0</v>
      </c>
      <c r="T410" s="22">
        <v>107714.28571428572</v>
      </c>
      <c r="U410" s="261">
        <f t="shared" si="68"/>
        <v>0</v>
      </c>
      <c r="V410" s="281">
        <v>72400</v>
      </c>
      <c r="W410" s="234">
        <f t="shared" si="69"/>
        <v>0</v>
      </c>
      <c r="X410" s="22">
        <v>109142.85714285714</v>
      </c>
      <c r="Y410" s="261">
        <f t="shared" si="70"/>
        <v>1428.5714285714203</v>
      </c>
    </row>
    <row r="411" spans="1:25">
      <c r="A411" s="2"/>
      <c r="B411" s="2">
        <v>407</v>
      </c>
      <c r="C411" s="48" t="s">
        <v>424</v>
      </c>
      <c r="D411" s="234">
        <v>73500</v>
      </c>
      <c r="E411" s="143">
        <v>103571.42857142858</v>
      </c>
      <c r="F411">
        <v>73500</v>
      </c>
      <c r="G411" s="234">
        <f t="shared" si="61"/>
        <v>0</v>
      </c>
      <c r="H411">
        <v>106428.57142857143</v>
      </c>
      <c r="I411" s="261">
        <f t="shared" si="62"/>
        <v>2857.1428571428551</v>
      </c>
      <c r="J411">
        <v>73500</v>
      </c>
      <c r="K411" s="234">
        <f t="shared" si="63"/>
        <v>0</v>
      </c>
      <c r="L411" s="143">
        <v>106428.57142857143</v>
      </c>
      <c r="M411" s="261">
        <f t="shared" si="64"/>
        <v>0</v>
      </c>
      <c r="N411" s="234">
        <v>73500</v>
      </c>
      <c r="O411" s="234">
        <f t="shared" si="65"/>
        <v>0</v>
      </c>
      <c r="P411" s="143">
        <v>109285.71428571429</v>
      </c>
      <c r="Q411" s="261">
        <f t="shared" si="66"/>
        <v>2857.1428571428551</v>
      </c>
      <c r="R411" s="281">
        <v>73500</v>
      </c>
      <c r="S411" s="234">
        <f t="shared" si="67"/>
        <v>0</v>
      </c>
      <c r="T411" s="22">
        <v>109285.71428571429</v>
      </c>
      <c r="U411" s="261">
        <f t="shared" si="68"/>
        <v>0</v>
      </c>
      <c r="V411" s="281">
        <v>73500</v>
      </c>
      <c r="W411" s="234">
        <f t="shared" si="69"/>
        <v>0</v>
      </c>
      <c r="X411" s="22">
        <v>110714.28571428572</v>
      </c>
      <c r="Y411" s="261">
        <f t="shared" si="70"/>
        <v>1428.5714285714348</v>
      </c>
    </row>
    <row r="412" spans="1:25">
      <c r="A412" s="2"/>
      <c r="B412" s="71">
        <v>408</v>
      </c>
      <c r="C412" s="173" t="s">
        <v>716</v>
      </c>
      <c r="D412" s="234">
        <v>66400</v>
      </c>
      <c r="E412" s="143">
        <v>99142.857142857145</v>
      </c>
      <c r="F412">
        <v>66400</v>
      </c>
      <c r="G412" s="234">
        <f t="shared" si="61"/>
        <v>0</v>
      </c>
      <c r="H412">
        <v>99142.857142857145</v>
      </c>
      <c r="I412" s="261">
        <f t="shared" si="62"/>
        <v>0</v>
      </c>
      <c r="J412">
        <v>66400</v>
      </c>
      <c r="K412" s="234">
        <f t="shared" si="63"/>
        <v>0</v>
      </c>
      <c r="L412" s="143">
        <v>99142.857142857145</v>
      </c>
      <c r="M412" s="261">
        <f t="shared" si="64"/>
        <v>0</v>
      </c>
      <c r="N412" s="234">
        <v>66400</v>
      </c>
      <c r="O412" s="234">
        <f t="shared" si="65"/>
        <v>0</v>
      </c>
      <c r="P412" s="143">
        <v>100571.42857142858</v>
      </c>
      <c r="Q412" s="261">
        <f t="shared" si="66"/>
        <v>1428.5714285714348</v>
      </c>
      <c r="R412" s="281">
        <v>66400</v>
      </c>
      <c r="S412" s="234">
        <f t="shared" si="67"/>
        <v>0</v>
      </c>
      <c r="T412" s="22">
        <v>99142.857142857145</v>
      </c>
      <c r="U412" s="261">
        <f t="shared" si="68"/>
        <v>-1428.5714285714348</v>
      </c>
      <c r="V412" s="281">
        <v>66400</v>
      </c>
      <c r="W412" s="234">
        <f t="shared" si="69"/>
        <v>0</v>
      </c>
      <c r="X412" s="22">
        <v>99142.857142857145</v>
      </c>
      <c r="Y412" s="261">
        <f t="shared" si="70"/>
        <v>0</v>
      </c>
    </row>
    <row r="413" spans="1:25">
      <c r="A413" s="2"/>
      <c r="B413" s="71">
        <v>409</v>
      </c>
      <c r="C413" s="173" t="s">
        <v>717</v>
      </c>
      <c r="D413" s="234">
        <v>66400</v>
      </c>
      <c r="E413" s="143">
        <v>99142.857142857145</v>
      </c>
      <c r="F413">
        <v>66400</v>
      </c>
      <c r="G413" s="234">
        <f t="shared" si="61"/>
        <v>0</v>
      </c>
      <c r="H413">
        <v>99142.857142857145</v>
      </c>
      <c r="I413" s="261">
        <f t="shared" si="62"/>
        <v>0</v>
      </c>
      <c r="J413">
        <v>66400</v>
      </c>
      <c r="K413" s="234">
        <f t="shared" si="63"/>
        <v>0</v>
      </c>
      <c r="L413" s="143">
        <v>99142.857142857145</v>
      </c>
      <c r="M413" s="261">
        <f t="shared" si="64"/>
        <v>0</v>
      </c>
      <c r="N413" s="234">
        <v>66400</v>
      </c>
      <c r="O413" s="234">
        <f t="shared" si="65"/>
        <v>0</v>
      </c>
      <c r="P413" s="143">
        <v>100571.42857142858</v>
      </c>
      <c r="Q413" s="261">
        <f t="shared" si="66"/>
        <v>1428.5714285714348</v>
      </c>
      <c r="R413" s="281">
        <v>66400</v>
      </c>
      <c r="S413" s="234">
        <f t="shared" si="67"/>
        <v>0</v>
      </c>
      <c r="T413" s="22">
        <v>94857.14285714287</v>
      </c>
      <c r="U413" s="261">
        <f t="shared" si="68"/>
        <v>-5714.2857142857101</v>
      </c>
      <c r="V413" s="281">
        <v>66400</v>
      </c>
      <c r="W413" s="234">
        <f t="shared" si="69"/>
        <v>0</v>
      </c>
      <c r="X413" s="22">
        <v>94857.14285714287</v>
      </c>
      <c r="Y413" s="261">
        <f t="shared" si="70"/>
        <v>0</v>
      </c>
    </row>
    <row r="414" spans="1:25">
      <c r="A414" s="2"/>
      <c r="B414" s="2">
        <v>410</v>
      </c>
      <c r="C414" s="173" t="s">
        <v>718</v>
      </c>
      <c r="D414" s="234">
        <v>81400</v>
      </c>
      <c r="E414" s="143">
        <v>114857.14285714287</v>
      </c>
      <c r="F414">
        <v>81400</v>
      </c>
      <c r="G414" s="234">
        <f t="shared" si="61"/>
        <v>0</v>
      </c>
      <c r="H414">
        <v>113428.57142857143</v>
      </c>
      <c r="I414" s="261">
        <f t="shared" si="62"/>
        <v>-1428.5714285714348</v>
      </c>
      <c r="J414">
        <v>81400</v>
      </c>
      <c r="K414" s="234">
        <f t="shared" si="63"/>
        <v>0</v>
      </c>
      <c r="L414" s="143">
        <v>113428.57142857143</v>
      </c>
      <c r="M414" s="261">
        <f t="shared" si="64"/>
        <v>0</v>
      </c>
      <c r="N414" s="234">
        <v>81400</v>
      </c>
      <c r="O414" s="234">
        <f t="shared" si="65"/>
        <v>0</v>
      </c>
      <c r="P414" s="143">
        <v>112714.28571428572</v>
      </c>
      <c r="Q414" s="261">
        <f t="shared" si="66"/>
        <v>-714.28571428571013</v>
      </c>
      <c r="R414" s="281">
        <v>81400</v>
      </c>
      <c r="S414" s="234">
        <f t="shared" si="67"/>
        <v>0</v>
      </c>
      <c r="T414" s="22">
        <v>112714.28571428572</v>
      </c>
      <c r="U414" s="261">
        <f t="shared" si="68"/>
        <v>0</v>
      </c>
      <c r="V414" s="281">
        <v>81400</v>
      </c>
      <c r="W414" s="234">
        <f t="shared" si="69"/>
        <v>0</v>
      </c>
      <c r="X414" s="22">
        <v>112714.28571428572</v>
      </c>
      <c r="Y414" s="261">
        <f t="shared" si="70"/>
        <v>0</v>
      </c>
    </row>
    <row r="415" spans="1:25">
      <c r="A415" s="2"/>
      <c r="B415" s="71">
        <v>411</v>
      </c>
      <c r="C415" s="173" t="s">
        <v>719</v>
      </c>
      <c r="D415" s="234">
        <v>80700</v>
      </c>
      <c r="E415" s="143">
        <v>113857.14285714287</v>
      </c>
      <c r="F415">
        <v>80700</v>
      </c>
      <c r="G415" s="234">
        <f t="shared" si="61"/>
        <v>0</v>
      </c>
      <c r="H415">
        <v>116714.28571428572</v>
      </c>
      <c r="I415" s="261">
        <f t="shared" si="62"/>
        <v>2857.1428571428551</v>
      </c>
      <c r="J415">
        <v>80700</v>
      </c>
      <c r="K415" s="234">
        <f t="shared" si="63"/>
        <v>0</v>
      </c>
      <c r="L415" s="143">
        <v>116714.28571428572</v>
      </c>
      <c r="M415" s="261">
        <f t="shared" si="64"/>
        <v>0</v>
      </c>
      <c r="N415" s="234">
        <v>80700</v>
      </c>
      <c r="O415" s="234">
        <f t="shared" si="65"/>
        <v>0</v>
      </c>
      <c r="P415" s="143">
        <v>116714.28571428572</v>
      </c>
      <c r="Q415" s="261">
        <f t="shared" si="66"/>
        <v>0</v>
      </c>
      <c r="R415" s="281">
        <v>80700</v>
      </c>
      <c r="S415" s="234">
        <f t="shared" si="67"/>
        <v>0</v>
      </c>
      <c r="T415" s="22">
        <v>116714.28571428572</v>
      </c>
      <c r="U415" s="261">
        <f t="shared" si="68"/>
        <v>0</v>
      </c>
      <c r="V415" s="281">
        <v>80700</v>
      </c>
      <c r="W415" s="234">
        <f t="shared" si="69"/>
        <v>0</v>
      </c>
      <c r="X415" s="22">
        <v>116714.28571428572</v>
      </c>
      <c r="Y415" s="261">
        <f t="shared" si="70"/>
        <v>0</v>
      </c>
    </row>
    <row r="416" spans="1:25">
      <c r="A416" s="2"/>
      <c r="B416" s="71">
        <v>412</v>
      </c>
      <c r="C416" s="173" t="s">
        <v>720</v>
      </c>
      <c r="D416" s="234">
        <v>65900</v>
      </c>
      <c r="E416" s="143">
        <v>98428.571428571435</v>
      </c>
      <c r="F416">
        <v>65900</v>
      </c>
      <c r="G416" s="234">
        <f t="shared" si="61"/>
        <v>0</v>
      </c>
      <c r="H416">
        <v>98428.571428571435</v>
      </c>
      <c r="I416" s="261">
        <f t="shared" si="62"/>
        <v>0</v>
      </c>
      <c r="J416">
        <v>65900</v>
      </c>
      <c r="K416" s="234">
        <f t="shared" si="63"/>
        <v>0</v>
      </c>
      <c r="L416" s="143">
        <v>98428.571428571435</v>
      </c>
      <c r="M416" s="261">
        <f t="shared" si="64"/>
        <v>0</v>
      </c>
      <c r="N416" s="234">
        <v>65900</v>
      </c>
      <c r="O416" s="234">
        <f t="shared" si="65"/>
        <v>0</v>
      </c>
      <c r="P416" s="143">
        <v>99857.14285714287</v>
      </c>
      <c r="Q416" s="261">
        <f t="shared" si="66"/>
        <v>1428.5714285714348</v>
      </c>
      <c r="R416" s="281">
        <v>65900</v>
      </c>
      <c r="S416" s="234">
        <f t="shared" si="67"/>
        <v>0</v>
      </c>
      <c r="T416" s="22">
        <v>99857.14285714287</v>
      </c>
      <c r="U416" s="261">
        <f t="shared" si="68"/>
        <v>0</v>
      </c>
      <c r="V416" s="281">
        <v>65900</v>
      </c>
      <c r="W416" s="234">
        <f t="shared" si="69"/>
        <v>0</v>
      </c>
      <c r="X416" s="22">
        <v>99857.14285714287</v>
      </c>
      <c r="Y416" s="261">
        <f t="shared" si="70"/>
        <v>0</v>
      </c>
    </row>
    <row r="417" spans="1:25">
      <c r="A417" s="2"/>
      <c r="B417" s="2">
        <v>413</v>
      </c>
      <c r="C417" s="48" t="s">
        <v>425</v>
      </c>
      <c r="D417" s="234">
        <v>66400</v>
      </c>
      <c r="E417" s="143">
        <v>99142.857142857145</v>
      </c>
      <c r="F417">
        <v>66400</v>
      </c>
      <c r="G417" s="234">
        <f t="shared" si="61"/>
        <v>0</v>
      </c>
      <c r="H417">
        <v>99142.857142857145</v>
      </c>
      <c r="I417" s="261">
        <f t="shared" si="62"/>
        <v>0</v>
      </c>
      <c r="J417">
        <v>66400</v>
      </c>
      <c r="K417" s="234">
        <f t="shared" si="63"/>
        <v>0</v>
      </c>
      <c r="L417" s="143">
        <v>99142.857142857145</v>
      </c>
      <c r="M417" s="261">
        <f t="shared" si="64"/>
        <v>0</v>
      </c>
      <c r="N417" s="234">
        <v>66400</v>
      </c>
      <c r="O417" s="234">
        <f t="shared" si="65"/>
        <v>0</v>
      </c>
      <c r="P417" s="143">
        <v>100571.42857142858</v>
      </c>
      <c r="Q417" s="261">
        <f t="shared" si="66"/>
        <v>1428.5714285714348</v>
      </c>
      <c r="R417" s="281">
        <v>66400</v>
      </c>
      <c r="S417" s="234">
        <f t="shared" si="67"/>
        <v>0</v>
      </c>
      <c r="T417" s="22">
        <v>100571.42857142858</v>
      </c>
      <c r="U417" s="261">
        <f t="shared" si="68"/>
        <v>0</v>
      </c>
      <c r="V417" s="281">
        <v>66400</v>
      </c>
      <c r="W417" s="234">
        <f t="shared" si="69"/>
        <v>0</v>
      </c>
      <c r="X417" s="22">
        <v>102000</v>
      </c>
      <c r="Y417" s="261">
        <f t="shared" si="70"/>
        <v>1428.5714285714203</v>
      </c>
    </row>
    <row r="418" spans="1:25">
      <c r="A418" s="2"/>
      <c r="B418" s="71">
        <v>414</v>
      </c>
      <c r="C418" s="173" t="s">
        <v>721</v>
      </c>
      <c r="D418" s="234">
        <v>72900</v>
      </c>
      <c r="E418" s="143">
        <v>108428.57142857143</v>
      </c>
      <c r="F418">
        <v>72900</v>
      </c>
      <c r="G418" s="234">
        <f t="shared" si="61"/>
        <v>0</v>
      </c>
      <c r="H418">
        <v>108428.57142857143</v>
      </c>
      <c r="I418" s="261">
        <f t="shared" si="62"/>
        <v>0</v>
      </c>
      <c r="J418">
        <v>72900</v>
      </c>
      <c r="K418" s="234">
        <f t="shared" si="63"/>
        <v>0</v>
      </c>
      <c r="L418" s="143">
        <v>108428.57142857143</v>
      </c>
      <c r="M418" s="261">
        <f t="shared" si="64"/>
        <v>0</v>
      </c>
      <c r="N418" s="234">
        <v>72900</v>
      </c>
      <c r="O418" s="234">
        <f t="shared" si="65"/>
        <v>0</v>
      </c>
      <c r="P418" s="143">
        <v>109857.14285714287</v>
      </c>
      <c r="Q418" s="261">
        <f t="shared" si="66"/>
        <v>1428.5714285714348</v>
      </c>
      <c r="R418" s="281">
        <v>72900</v>
      </c>
      <c r="S418" s="234">
        <f t="shared" si="67"/>
        <v>0</v>
      </c>
      <c r="T418" s="22">
        <v>108428.57142857143</v>
      </c>
      <c r="U418" s="261">
        <f t="shared" si="68"/>
        <v>-1428.5714285714348</v>
      </c>
      <c r="V418" s="281">
        <v>72900</v>
      </c>
      <c r="W418" s="234">
        <f t="shared" si="69"/>
        <v>0</v>
      </c>
      <c r="X418" s="22">
        <v>108428.57142857143</v>
      </c>
      <c r="Y418" s="261">
        <f t="shared" si="70"/>
        <v>0</v>
      </c>
    </row>
    <row r="419" spans="1:25">
      <c r="A419" s="2"/>
      <c r="B419" s="71">
        <v>415</v>
      </c>
      <c r="C419" s="48" t="s">
        <v>426</v>
      </c>
      <c r="D419" s="234">
        <v>73100</v>
      </c>
      <c r="E419" s="143">
        <v>108714.28571428572</v>
      </c>
      <c r="F419">
        <v>73100</v>
      </c>
      <c r="G419" s="234">
        <f t="shared" si="61"/>
        <v>0</v>
      </c>
      <c r="H419">
        <v>108714.28571428572</v>
      </c>
      <c r="I419" s="261">
        <f t="shared" si="62"/>
        <v>0</v>
      </c>
      <c r="J419">
        <v>73100</v>
      </c>
      <c r="K419" s="234">
        <f t="shared" si="63"/>
        <v>0</v>
      </c>
      <c r="L419" s="143">
        <v>108714.28571428572</v>
      </c>
      <c r="M419" s="261">
        <f t="shared" si="64"/>
        <v>0</v>
      </c>
      <c r="N419" s="234">
        <v>73100</v>
      </c>
      <c r="O419" s="234">
        <f t="shared" si="65"/>
        <v>0</v>
      </c>
      <c r="P419" s="143">
        <v>110142.85714285714</v>
      </c>
      <c r="Q419" s="261">
        <f t="shared" si="66"/>
        <v>1428.5714285714203</v>
      </c>
      <c r="R419" s="281">
        <v>73100</v>
      </c>
      <c r="S419" s="234">
        <f t="shared" si="67"/>
        <v>0</v>
      </c>
      <c r="T419" s="22">
        <v>110142.85714285714</v>
      </c>
      <c r="U419" s="261">
        <f t="shared" si="68"/>
        <v>0</v>
      </c>
      <c r="V419" s="281">
        <v>73100</v>
      </c>
      <c r="W419" s="234">
        <f t="shared" si="69"/>
        <v>0</v>
      </c>
      <c r="X419" s="22">
        <v>111571.42857142858</v>
      </c>
      <c r="Y419" s="261">
        <f t="shared" si="70"/>
        <v>1428.5714285714348</v>
      </c>
    </row>
    <row r="420" spans="1:25">
      <c r="A420" s="2"/>
      <c r="B420" s="2">
        <v>416</v>
      </c>
      <c r="C420" s="48" t="s">
        <v>427</v>
      </c>
      <c r="D420" s="234">
        <v>79300</v>
      </c>
      <c r="E420" s="143">
        <v>111857.14285714287</v>
      </c>
      <c r="F420">
        <v>79300</v>
      </c>
      <c r="G420" s="234">
        <f t="shared" si="61"/>
        <v>0</v>
      </c>
      <c r="H420">
        <v>114714.28571428572</v>
      </c>
      <c r="I420" s="261">
        <f t="shared" si="62"/>
        <v>2857.1428571428551</v>
      </c>
      <c r="J420">
        <v>79300</v>
      </c>
      <c r="K420" s="234">
        <f t="shared" si="63"/>
        <v>0</v>
      </c>
      <c r="L420" s="143">
        <v>114714.28571428572</v>
      </c>
      <c r="M420" s="261">
        <f t="shared" si="64"/>
        <v>0</v>
      </c>
      <c r="N420" s="234">
        <v>79300</v>
      </c>
      <c r="O420" s="234">
        <f t="shared" si="65"/>
        <v>0</v>
      </c>
      <c r="P420" s="143">
        <v>117571.42857142858</v>
      </c>
      <c r="Q420" s="261">
        <f t="shared" si="66"/>
        <v>2857.1428571428551</v>
      </c>
      <c r="R420" s="281">
        <v>79300</v>
      </c>
      <c r="S420" s="234">
        <f t="shared" si="67"/>
        <v>0</v>
      </c>
      <c r="T420" s="22">
        <v>117571.42857142858</v>
      </c>
      <c r="U420" s="261">
        <f t="shared" si="68"/>
        <v>0</v>
      </c>
      <c r="V420" s="281">
        <v>79300</v>
      </c>
      <c r="W420" s="234">
        <f t="shared" si="69"/>
        <v>0</v>
      </c>
      <c r="X420" s="22">
        <v>119000.00000000001</v>
      </c>
      <c r="Y420" s="261">
        <f t="shared" si="70"/>
        <v>1428.5714285714348</v>
      </c>
    </row>
    <row r="421" spans="1:25">
      <c r="A421" s="2"/>
      <c r="B421" s="71">
        <v>417</v>
      </c>
      <c r="C421" s="48" t="s">
        <v>428</v>
      </c>
      <c r="D421" s="234">
        <v>73600</v>
      </c>
      <c r="E421" s="143">
        <v>103714.28571428572</v>
      </c>
      <c r="F421">
        <v>73600</v>
      </c>
      <c r="G421" s="234">
        <f t="shared" si="61"/>
        <v>0</v>
      </c>
      <c r="H421">
        <v>106571.42857142858</v>
      </c>
      <c r="I421" s="261">
        <f t="shared" si="62"/>
        <v>2857.1428571428551</v>
      </c>
      <c r="J421">
        <v>73600</v>
      </c>
      <c r="K421" s="234">
        <f t="shared" si="63"/>
        <v>0</v>
      </c>
      <c r="L421" s="143">
        <v>106571.42857142858</v>
      </c>
      <c r="M421" s="261">
        <f t="shared" si="64"/>
        <v>0</v>
      </c>
      <c r="N421" s="234">
        <v>73600</v>
      </c>
      <c r="O421" s="234">
        <f t="shared" si="65"/>
        <v>0</v>
      </c>
      <c r="P421" s="143">
        <v>109428.57142857143</v>
      </c>
      <c r="Q421" s="261">
        <f t="shared" si="66"/>
        <v>2857.1428571428551</v>
      </c>
      <c r="R421" s="281">
        <v>73600</v>
      </c>
      <c r="S421" s="234">
        <f t="shared" si="67"/>
        <v>0</v>
      </c>
      <c r="T421" s="22">
        <v>109428.57142857143</v>
      </c>
      <c r="U421" s="261">
        <f t="shared" si="68"/>
        <v>0</v>
      </c>
      <c r="V421" s="281">
        <v>73600</v>
      </c>
      <c r="W421" s="234">
        <f t="shared" si="69"/>
        <v>0</v>
      </c>
      <c r="X421" s="22">
        <v>110857.14285714287</v>
      </c>
      <c r="Y421" s="261">
        <f t="shared" si="70"/>
        <v>1428.5714285714348</v>
      </c>
    </row>
    <row r="422" spans="1:25">
      <c r="A422" s="2"/>
      <c r="B422" s="71">
        <v>418</v>
      </c>
      <c r="C422" s="173" t="s">
        <v>722</v>
      </c>
      <c r="D422" s="234">
        <v>72200</v>
      </c>
      <c r="E422" s="143">
        <v>107428.57142857143</v>
      </c>
      <c r="F422">
        <v>72200</v>
      </c>
      <c r="G422" s="234">
        <f t="shared" si="61"/>
        <v>0</v>
      </c>
      <c r="H422">
        <v>107428.57142857143</v>
      </c>
      <c r="I422" s="261">
        <f t="shared" si="62"/>
        <v>0</v>
      </c>
      <c r="J422">
        <v>72200</v>
      </c>
      <c r="K422" s="234">
        <f t="shared" si="63"/>
        <v>0</v>
      </c>
      <c r="L422" s="143">
        <v>107428.57142857143</v>
      </c>
      <c r="M422" s="261">
        <f t="shared" si="64"/>
        <v>0</v>
      </c>
      <c r="N422" s="234">
        <v>72200</v>
      </c>
      <c r="O422" s="234">
        <f t="shared" si="65"/>
        <v>0</v>
      </c>
      <c r="P422" s="143">
        <v>108857.14285714287</v>
      </c>
      <c r="Q422" s="261">
        <f t="shared" si="66"/>
        <v>1428.5714285714348</v>
      </c>
      <c r="R422" s="281">
        <v>72200</v>
      </c>
      <c r="S422" s="234">
        <f t="shared" si="67"/>
        <v>0</v>
      </c>
      <c r="T422" s="22">
        <v>107428.57142857143</v>
      </c>
      <c r="U422" s="261">
        <f t="shared" si="68"/>
        <v>-1428.5714285714348</v>
      </c>
      <c r="V422" s="281">
        <v>72200</v>
      </c>
      <c r="W422" s="234">
        <f t="shared" si="69"/>
        <v>0</v>
      </c>
      <c r="X422" s="22">
        <v>107428.57142857143</v>
      </c>
      <c r="Y422" s="261">
        <f t="shared" si="70"/>
        <v>0</v>
      </c>
    </row>
    <row r="423" spans="1:25">
      <c r="A423" s="2"/>
      <c r="B423" s="2">
        <v>419</v>
      </c>
      <c r="C423" s="48" t="s">
        <v>429</v>
      </c>
      <c r="D423" s="234">
        <v>73100</v>
      </c>
      <c r="E423" s="143">
        <v>108714.28571428572</v>
      </c>
      <c r="F423">
        <v>73100</v>
      </c>
      <c r="G423" s="234">
        <f t="shared" si="61"/>
        <v>0</v>
      </c>
      <c r="H423">
        <v>108714.28571428572</v>
      </c>
      <c r="I423" s="261">
        <f t="shared" si="62"/>
        <v>0</v>
      </c>
      <c r="J423">
        <v>73100</v>
      </c>
      <c r="K423" s="234">
        <f t="shared" si="63"/>
        <v>0</v>
      </c>
      <c r="L423" s="143">
        <v>108714.28571428572</v>
      </c>
      <c r="M423" s="261">
        <f t="shared" si="64"/>
        <v>0</v>
      </c>
      <c r="N423" s="234">
        <v>73100</v>
      </c>
      <c r="O423" s="234">
        <f t="shared" si="65"/>
        <v>0</v>
      </c>
      <c r="P423" s="143">
        <v>110142.85714285714</v>
      </c>
      <c r="Q423" s="261">
        <f t="shared" si="66"/>
        <v>1428.5714285714203</v>
      </c>
      <c r="R423" s="281">
        <v>73100</v>
      </c>
      <c r="S423" s="234">
        <f t="shared" si="67"/>
        <v>0</v>
      </c>
      <c r="T423" s="22">
        <v>110142.85714285714</v>
      </c>
      <c r="U423" s="261">
        <f t="shared" si="68"/>
        <v>0</v>
      </c>
      <c r="V423" s="281">
        <v>73100</v>
      </c>
      <c r="W423" s="234">
        <f t="shared" si="69"/>
        <v>0</v>
      </c>
      <c r="X423" s="22">
        <v>111571.42857142858</v>
      </c>
      <c r="Y423" s="261">
        <f t="shared" si="70"/>
        <v>1428.5714285714348</v>
      </c>
    </row>
    <row r="424" spans="1:25">
      <c r="A424" s="2"/>
      <c r="B424" s="71">
        <v>420</v>
      </c>
      <c r="C424" s="48" t="s">
        <v>430</v>
      </c>
      <c r="D424" s="234">
        <v>78350</v>
      </c>
      <c r="E424" s="143">
        <v>110500</v>
      </c>
      <c r="F424">
        <v>78350</v>
      </c>
      <c r="G424" s="234">
        <f t="shared" si="61"/>
        <v>0</v>
      </c>
      <c r="H424">
        <v>113357.14285714287</v>
      </c>
      <c r="I424" s="261">
        <f t="shared" si="62"/>
        <v>2857.1428571428696</v>
      </c>
      <c r="J424">
        <v>78350</v>
      </c>
      <c r="K424" s="234">
        <f t="shared" si="63"/>
        <v>0</v>
      </c>
      <c r="L424" s="143">
        <v>113357.14285714287</v>
      </c>
      <c r="M424" s="261">
        <f t="shared" si="64"/>
        <v>0</v>
      </c>
      <c r="N424" s="234">
        <v>78350</v>
      </c>
      <c r="O424" s="234">
        <f t="shared" si="65"/>
        <v>0</v>
      </c>
      <c r="P424" s="143">
        <v>116214.28571428572</v>
      </c>
      <c r="Q424" s="261">
        <f t="shared" si="66"/>
        <v>2857.1428571428551</v>
      </c>
      <c r="R424" s="281">
        <v>78350</v>
      </c>
      <c r="S424" s="234">
        <f t="shared" si="67"/>
        <v>0</v>
      </c>
      <c r="T424" s="22">
        <v>116214.28571428572</v>
      </c>
      <c r="U424" s="261">
        <f t="shared" si="68"/>
        <v>0</v>
      </c>
      <c r="V424" s="281">
        <v>78350</v>
      </c>
      <c r="W424" s="234">
        <f t="shared" si="69"/>
        <v>0</v>
      </c>
      <c r="X424" s="22">
        <v>117642.85714285714</v>
      </c>
      <c r="Y424" s="261">
        <f t="shared" si="70"/>
        <v>1428.5714285714203</v>
      </c>
    </row>
    <row r="425" spans="1:25">
      <c r="A425" s="71" t="s">
        <v>855</v>
      </c>
      <c r="B425" s="71">
        <v>421</v>
      </c>
      <c r="C425" s="173" t="s">
        <v>723</v>
      </c>
      <c r="D425" s="234">
        <v>91000</v>
      </c>
      <c r="E425" s="143">
        <v>131428.57142857145</v>
      </c>
      <c r="F425">
        <v>82700</v>
      </c>
      <c r="G425" s="234">
        <f t="shared" si="61"/>
        <v>-8300</v>
      </c>
      <c r="H425">
        <v>119571.42857142858</v>
      </c>
      <c r="I425" s="261">
        <f t="shared" si="62"/>
        <v>-11857.14285714287</v>
      </c>
      <c r="J425">
        <v>82700</v>
      </c>
      <c r="K425" s="234">
        <f t="shared" si="63"/>
        <v>0</v>
      </c>
      <c r="L425" s="143">
        <v>121000.00000000001</v>
      </c>
      <c r="M425" s="261">
        <f t="shared" si="64"/>
        <v>1428.5714285714348</v>
      </c>
      <c r="N425" s="234">
        <v>82700</v>
      </c>
      <c r="O425" s="234">
        <f t="shared" si="65"/>
        <v>0</v>
      </c>
      <c r="P425" s="143">
        <v>121000.00000000001</v>
      </c>
      <c r="Q425" s="261">
        <f t="shared" si="66"/>
        <v>0</v>
      </c>
      <c r="R425" s="281">
        <v>82700</v>
      </c>
      <c r="S425" s="234">
        <f t="shared" si="67"/>
        <v>0</v>
      </c>
      <c r="T425" s="22">
        <v>121000.00000000001</v>
      </c>
      <c r="U425" s="261">
        <f t="shared" si="68"/>
        <v>0</v>
      </c>
      <c r="V425" s="281">
        <v>82700</v>
      </c>
      <c r="W425" s="234">
        <f t="shared" si="69"/>
        <v>0</v>
      </c>
      <c r="X425" s="22">
        <v>121000.00000000001</v>
      </c>
      <c r="Y425" s="261">
        <f t="shared" si="70"/>
        <v>0</v>
      </c>
    </row>
    <row r="426" spans="1:25">
      <c r="A426" s="2"/>
      <c r="B426" s="2">
        <v>422</v>
      </c>
      <c r="C426" s="48" t="s">
        <v>431</v>
      </c>
      <c r="D426" s="234">
        <v>70500</v>
      </c>
      <c r="E426" s="143">
        <v>99285.71428571429</v>
      </c>
      <c r="F426">
        <v>70500</v>
      </c>
      <c r="G426" s="234">
        <f t="shared" si="61"/>
        <v>0</v>
      </c>
      <c r="H426">
        <v>102142.85714285714</v>
      </c>
      <c r="I426" s="261">
        <f t="shared" si="62"/>
        <v>2857.1428571428551</v>
      </c>
      <c r="J426">
        <v>70500</v>
      </c>
      <c r="K426" s="234">
        <f t="shared" si="63"/>
        <v>0</v>
      </c>
      <c r="L426" s="143">
        <v>102142.85714285714</v>
      </c>
      <c r="M426" s="261">
        <f t="shared" si="64"/>
        <v>0</v>
      </c>
      <c r="N426" s="234">
        <v>70500</v>
      </c>
      <c r="O426" s="234">
        <f t="shared" si="65"/>
        <v>0</v>
      </c>
      <c r="P426" s="143">
        <v>105000</v>
      </c>
      <c r="Q426" s="261">
        <f t="shared" si="66"/>
        <v>2857.1428571428551</v>
      </c>
      <c r="R426" s="281">
        <v>70500</v>
      </c>
      <c r="S426" s="234">
        <f t="shared" si="67"/>
        <v>0</v>
      </c>
      <c r="T426" s="22">
        <v>105000</v>
      </c>
      <c r="U426" s="261">
        <f t="shared" si="68"/>
        <v>0</v>
      </c>
      <c r="V426" s="281">
        <v>70500</v>
      </c>
      <c r="W426" s="234">
        <f t="shared" si="69"/>
        <v>0</v>
      </c>
      <c r="X426" s="22">
        <v>106428.57142857143</v>
      </c>
      <c r="Y426" s="261">
        <f t="shared" si="70"/>
        <v>1428.5714285714348</v>
      </c>
    </row>
    <row r="427" spans="1:25">
      <c r="A427" s="2"/>
      <c r="B427" s="71">
        <v>423</v>
      </c>
      <c r="C427" s="48" t="s">
        <v>432</v>
      </c>
      <c r="D427" s="234">
        <v>73100</v>
      </c>
      <c r="E427" s="143">
        <v>108714.28571428572</v>
      </c>
      <c r="F427">
        <v>73100</v>
      </c>
      <c r="G427" s="234">
        <f t="shared" si="61"/>
        <v>0</v>
      </c>
      <c r="H427">
        <v>108714.28571428572</v>
      </c>
      <c r="I427" s="261">
        <f t="shared" si="62"/>
        <v>0</v>
      </c>
      <c r="J427">
        <v>73100</v>
      </c>
      <c r="K427" s="234">
        <f t="shared" si="63"/>
        <v>0</v>
      </c>
      <c r="L427" s="143">
        <v>108714.28571428572</v>
      </c>
      <c r="M427" s="261">
        <f t="shared" si="64"/>
        <v>0</v>
      </c>
      <c r="N427" s="234">
        <v>73100</v>
      </c>
      <c r="O427" s="234">
        <f t="shared" si="65"/>
        <v>0</v>
      </c>
      <c r="P427" s="143">
        <v>110142.85714285714</v>
      </c>
      <c r="Q427" s="261">
        <f t="shared" si="66"/>
        <v>1428.5714285714203</v>
      </c>
      <c r="R427" s="281">
        <v>73100</v>
      </c>
      <c r="S427" s="234">
        <f t="shared" si="67"/>
        <v>0</v>
      </c>
      <c r="T427" s="22">
        <v>110142.85714285714</v>
      </c>
      <c r="U427" s="261">
        <f t="shared" si="68"/>
        <v>0</v>
      </c>
      <c r="V427" s="281">
        <v>73100</v>
      </c>
      <c r="W427" s="234">
        <f t="shared" si="69"/>
        <v>0</v>
      </c>
      <c r="X427" s="22">
        <v>111571.42857142858</v>
      </c>
      <c r="Y427" s="261">
        <f t="shared" si="70"/>
        <v>1428.5714285714348</v>
      </c>
    </row>
    <row r="428" spans="1:25">
      <c r="A428" s="2"/>
      <c r="B428" s="71">
        <v>424</v>
      </c>
      <c r="C428" s="48" t="s">
        <v>433</v>
      </c>
      <c r="D428" s="234">
        <v>71200</v>
      </c>
      <c r="E428" s="143">
        <v>100285.71428571429</v>
      </c>
      <c r="F428">
        <v>71200</v>
      </c>
      <c r="G428" s="234">
        <f t="shared" si="61"/>
        <v>0</v>
      </c>
      <c r="H428">
        <v>103142.85714285714</v>
      </c>
      <c r="I428" s="261">
        <f t="shared" si="62"/>
        <v>2857.1428571428551</v>
      </c>
      <c r="J428">
        <v>71200</v>
      </c>
      <c r="K428" s="234">
        <f t="shared" si="63"/>
        <v>0</v>
      </c>
      <c r="L428" s="143">
        <v>103142.85714285714</v>
      </c>
      <c r="M428" s="261">
        <f t="shared" si="64"/>
        <v>0</v>
      </c>
      <c r="N428" s="234">
        <v>71200</v>
      </c>
      <c r="O428" s="234">
        <f t="shared" si="65"/>
        <v>0</v>
      </c>
      <c r="P428" s="143">
        <v>106000</v>
      </c>
      <c r="Q428" s="261">
        <f t="shared" si="66"/>
        <v>2857.1428571428551</v>
      </c>
      <c r="R428" s="281">
        <v>71200</v>
      </c>
      <c r="S428" s="234">
        <f t="shared" si="67"/>
        <v>0</v>
      </c>
      <c r="T428" s="22">
        <v>106000</v>
      </c>
      <c r="U428" s="261">
        <f t="shared" si="68"/>
        <v>0</v>
      </c>
      <c r="V428" s="281">
        <v>71200</v>
      </c>
      <c r="W428" s="234">
        <f t="shared" si="69"/>
        <v>0</v>
      </c>
      <c r="X428" s="22">
        <v>107428.57142857143</v>
      </c>
      <c r="Y428" s="261">
        <f t="shared" si="70"/>
        <v>1428.5714285714348</v>
      </c>
    </row>
    <row r="429" spans="1:25">
      <c r="A429" s="2"/>
      <c r="B429" s="2">
        <v>425</v>
      </c>
      <c r="C429" s="48" t="s">
        <v>434</v>
      </c>
      <c r="D429" s="234">
        <v>69700</v>
      </c>
      <c r="E429" s="143">
        <v>103857.14285714287</v>
      </c>
      <c r="F429">
        <v>69700</v>
      </c>
      <c r="G429" s="234">
        <f t="shared" si="61"/>
        <v>0</v>
      </c>
      <c r="H429">
        <v>103857.14285714287</v>
      </c>
      <c r="I429" s="261">
        <f t="shared" si="62"/>
        <v>0</v>
      </c>
      <c r="J429">
        <v>69700</v>
      </c>
      <c r="K429" s="234">
        <f t="shared" si="63"/>
        <v>0</v>
      </c>
      <c r="L429" s="143">
        <v>103857.14285714287</v>
      </c>
      <c r="M429" s="261">
        <f t="shared" si="64"/>
        <v>0</v>
      </c>
      <c r="N429" s="234">
        <v>69700</v>
      </c>
      <c r="O429" s="234">
        <f t="shared" si="65"/>
        <v>0</v>
      </c>
      <c r="P429" s="143">
        <v>105285.71428571429</v>
      </c>
      <c r="Q429" s="261">
        <f t="shared" si="66"/>
        <v>1428.5714285714203</v>
      </c>
      <c r="R429" s="281">
        <v>69700</v>
      </c>
      <c r="S429" s="234">
        <f t="shared" si="67"/>
        <v>0</v>
      </c>
      <c r="T429" s="22">
        <v>105285.71428571429</v>
      </c>
      <c r="U429" s="261">
        <f t="shared" si="68"/>
        <v>0</v>
      </c>
      <c r="V429" s="281">
        <v>69700</v>
      </c>
      <c r="W429" s="234">
        <f t="shared" si="69"/>
        <v>0</v>
      </c>
      <c r="X429" s="22">
        <v>106714.28571428572</v>
      </c>
      <c r="Y429" s="261">
        <f t="shared" si="70"/>
        <v>1428.5714285714348</v>
      </c>
    </row>
    <row r="430" spans="1:25">
      <c r="A430" s="2"/>
      <c r="B430" s="71">
        <v>426</v>
      </c>
      <c r="C430" s="52" t="s">
        <v>435</v>
      </c>
      <c r="D430" s="234">
        <v>45500</v>
      </c>
      <c r="E430" s="143">
        <v>69285.71428571429</v>
      </c>
      <c r="F430">
        <v>45500</v>
      </c>
      <c r="G430" s="234">
        <f t="shared" si="61"/>
        <v>0</v>
      </c>
      <c r="H430">
        <v>69285.71428571429</v>
      </c>
      <c r="I430" s="261">
        <f t="shared" si="62"/>
        <v>0</v>
      </c>
      <c r="J430">
        <v>45500</v>
      </c>
      <c r="K430" s="234">
        <f t="shared" si="63"/>
        <v>0</v>
      </c>
      <c r="L430" s="143">
        <v>69285.71428571429</v>
      </c>
      <c r="M430" s="261">
        <f t="shared" si="64"/>
        <v>0</v>
      </c>
      <c r="N430" s="234">
        <v>45500</v>
      </c>
      <c r="O430" s="234">
        <f t="shared" si="65"/>
        <v>0</v>
      </c>
      <c r="P430" s="143">
        <v>69285.71428571429</v>
      </c>
      <c r="Q430" s="261">
        <f t="shared" si="66"/>
        <v>0</v>
      </c>
      <c r="R430" s="281">
        <v>45500</v>
      </c>
      <c r="S430" s="234">
        <f t="shared" si="67"/>
        <v>0</v>
      </c>
      <c r="T430" s="22">
        <v>69285.71428571429</v>
      </c>
      <c r="U430" s="261">
        <f t="shared" si="68"/>
        <v>0</v>
      </c>
      <c r="V430" s="281">
        <v>45500</v>
      </c>
      <c r="W430" s="234">
        <f t="shared" si="69"/>
        <v>0</v>
      </c>
      <c r="X430" s="22">
        <v>69285.71428571429</v>
      </c>
      <c r="Y430" s="261">
        <f t="shared" si="70"/>
        <v>0</v>
      </c>
    </row>
    <row r="431" spans="1:25">
      <c r="A431" s="2"/>
      <c r="B431" s="71">
        <v>427</v>
      </c>
      <c r="C431" s="52" t="s">
        <v>437</v>
      </c>
      <c r="D431" s="234">
        <v>47350</v>
      </c>
      <c r="E431" s="143">
        <v>71928.571428571435</v>
      </c>
      <c r="F431">
        <v>47350</v>
      </c>
      <c r="G431" s="234">
        <f t="shared" si="61"/>
        <v>0</v>
      </c>
      <c r="H431">
        <v>71928.571428571435</v>
      </c>
      <c r="I431" s="261">
        <f t="shared" si="62"/>
        <v>0</v>
      </c>
      <c r="J431">
        <v>47350</v>
      </c>
      <c r="K431" s="234">
        <f t="shared" si="63"/>
        <v>0</v>
      </c>
      <c r="L431" s="143">
        <v>71928.571428571435</v>
      </c>
      <c r="M431" s="261">
        <f t="shared" si="64"/>
        <v>0</v>
      </c>
      <c r="N431" s="234">
        <v>47350</v>
      </c>
      <c r="O431" s="234">
        <f t="shared" si="65"/>
        <v>0</v>
      </c>
      <c r="P431" s="143">
        <v>71928.571428571435</v>
      </c>
      <c r="Q431" s="261">
        <f t="shared" si="66"/>
        <v>0</v>
      </c>
      <c r="R431" s="281">
        <v>47350</v>
      </c>
      <c r="S431" s="234">
        <f t="shared" si="67"/>
        <v>0</v>
      </c>
      <c r="T431" s="22">
        <v>71928.571428571435</v>
      </c>
      <c r="U431" s="261">
        <f t="shared" si="68"/>
        <v>0</v>
      </c>
      <c r="V431" s="281">
        <v>47350</v>
      </c>
      <c r="W431" s="234">
        <f t="shared" si="69"/>
        <v>0</v>
      </c>
      <c r="X431" s="22">
        <v>71928.571428571435</v>
      </c>
      <c r="Y431" s="261">
        <f t="shared" si="70"/>
        <v>0</v>
      </c>
    </row>
    <row r="432" spans="1:25">
      <c r="A432" s="2"/>
      <c r="B432" s="2">
        <v>428</v>
      </c>
      <c r="C432" s="174" t="s">
        <v>724</v>
      </c>
      <c r="D432" s="234">
        <v>46600</v>
      </c>
      <c r="E432" s="143">
        <v>70857.142857142855</v>
      </c>
      <c r="F432">
        <v>46600</v>
      </c>
      <c r="G432" s="234">
        <f t="shared" si="61"/>
        <v>0</v>
      </c>
      <c r="H432">
        <v>70857.142857142855</v>
      </c>
      <c r="I432" s="261">
        <f t="shared" si="62"/>
        <v>0</v>
      </c>
      <c r="J432">
        <v>46600</v>
      </c>
      <c r="K432" s="234">
        <f t="shared" si="63"/>
        <v>0</v>
      </c>
      <c r="L432" s="143">
        <v>70857.142857142855</v>
      </c>
      <c r="M432" s="261">
        <f t="shared" si="64"/>
        <v>0</v>
      </c>
      <c r="N432" s="234">
        <v>46600</v>
      </c>
      <c r="O432" s="234">
        <f t="shared" si="65"/>
        <v>0</v>
      </c>
      <c r="P432" s="143">
        <v>74428.571428571435</v>
      </c>
      <c r="Q432" s="261">
        <f t="shared" si="66"/>
        <v>3571.4285714285797</v>
      </c>
      <c r="R432" s="281">
        <v>46600</v>
      </c>
      <c r="S432" s="234">
        <f t="shared" si="67"/>
        <v>0</v>
      </c>
      <c r="T432" s="22">
        <v>74428.571428571435</v>
      </c>
      <c r="U432" s="261">
        <f t="shared" si="68"/>
        <v>0</v>
      </c>
      <c r="V432" s="281">
        <v>46600</v>
      </c>
      <c r="W432" s="234">
        <f t="shared" si="69"/>
        <v>0</v>
      </c>
      <c r="X432" s="22">
        <v>74428.571428571435</v>
      </c>
      <c r="Y432" s="261">
        <f t="shared" si="70"/>
        <v>0</v>
      </c>
    </row>
    <row r="433" spans="1:25">
      <c r="A433" s="2"/>
      <c r="B433" s="71">
        <v>429</v>
      </c>
      <c r="C433" s="174" t="s">
        <v>725</v>
      </c>
      <c r="D433" s="234">
        <v>53800</v>
      </c>
      <c r="E433" s="143">
        <v>81142.857142857145</v>
      </c>
      <c r="F433">
        <v>53800</v>
      </c>
      <c r="G433" s="234">
        <f t="shared" si="61"/>
        <v>0</v>
      </c>
      <c r="H433">
        <v>81142.857142857145</v>
      </c>
      <c r="I433" s="261">
        <f t="shared" si="62"/>
        <v>0</v>
      </c>
      <c r="J433">
        <v>53800</v>
      </c>
      <c r="K433" s="234">
        <f t="shared" si="63"/>
        <v>0</v>
      </c>
      <c r="L433" s="143">
        <v>81142.857142857145</v>
      </c>
      <c r="M433" s="261">
        <f t="shared" si="64"/>
        <v>0</v>
      </c>
      <c r="N433" s="234">
        <v>53800</v>
      </c>
      <c r="O433" s="234">
        <f t="shared" si="65"/>
        <v>0</v>
      </c>
      <c r="P433" s="143">
        <v>80428.571428571435</v>
      </c>
      <c r="Q433" s="261">
        <f t="shared" si="66"/>
        <v>-714.28571428571013</v>
      </c>
      <c r="R433" s="281">
        <v>53800</v>
      </c>
      <c r="S433" s="234">
        <f t="shared" si="67"/>
        <v>0</v>
      </c>
      <c r="T433" s="22">
        <v>80428.571428571435</v>
      </c>
      <c r="U433" s="261">
        <f t="shared" si="68"/>
        <v>0</v>
      </c>
      <c r="V433" s="281">
        <v>53800</v>
      </c>
      <c r="W433" s="234">
        <f t="shared" si="69"/>
        <v>0</v>
      </c>
      <c r="X433" s="22">
        <v>80428.571428571435</v>
      </c>
      <c r="Y433" s="261">
        <f t="shared" si="70"/>
        <v>0</v>
      </c>
    </row>
    <row r="434" spans="1:25">
      <c r="A434" s="2"/>
      <c r="B434" s="71">
        <v>430</v>
      </c>
      <c r="C434" s="52" t="s">
        <v>438</v>
      </c>
      <c r="D434" s="234">
        <v>57500</v>
      </c>
      <c r="E434" s="143">
        <v>86428.571428571435</v>
      </c>
      <c r="F434">
        <v>57500</v>
      </c>
      <c r="G434" s="234">
        <f t="shared" si="61"/>
        <v>0</v>
      </c>
      <c r="H434">
        <v>86428.571428571435</v>
      </c>
      <c r="I434" s="261">
        <f t="shared" si="62"/>
        <v>0</v>
      </c>
      <c r="J434">
        <v>57500</v>
      </c>
      <c r="K434" s="234">
        <f t="shared" si="63"/>
        <v>0</v>
      </c>
      <c r="L434" s="143">
        <v>86428.571428571435</v>
      </c>
      <c r="M434" s="261">
        <f t="shared" si="64"/>
        <v>0</v>
      </c>
      <c r="N434" s="234">
        <v>57500</v>
      </c>
      <c r="O434" s="234">
        <f t="shared" si="65"/>
        <v>0</v>
      </c>
      <c r="P434" s="143">
        <v>86428.571428571435</v>
      </c>
      <c r="Q434" s="261">
        <f t="shared" si="66"/>
        <v>0</v>
      </c>
      <c r="R434" s="281">
        <v>57500</v>
      </c>
      <c r="S434" s="234">
        <f t="shared" si="67"/>
        <v>0</v>
      </c>
      <c r="T434" s="22">
        <v>86428.571428571435</v>
      </c>
      <c r="U434" s="261">
        <f t="shared" si="68"/>
        <v>0</v>
      </c>
      <c r="V434" s="281">
        <v>57500</v>
      </c>
      <c r="W434" s="234">
        <f t="shared" si="69"/>
        <v>0</v>
      </c>
      <c r="X434" s="22">
        <v>86428.571428571435</v>
      </c>
      <c r="Y434" s="261">
        <f t="shared" si="70"/>
        <v>0</v>
      </c>
    </row>
    <row r="435" spans="1:25">
      <c r="A435" s="2"/>
      <c r="B435" s="2">
        <v>431</v>
      </c>
      <c r="C435" s="52" t="s">
        <v>439</v>
      </c>
      <c r="D435" s="234">
        <v>53750</v>
      </c>
      <c r="E435" s="143">
        <v>81071.42857142858</v>
      </c>
      <c r="F435">
        <v>53750</v>
      </c>
      <c r="G435" s="234">
        <f t="shared" si="61"/>
        <v>0</v>
      </c>
      <c r="H435">
        <v>81071.42857142858</v>
      </c>
      <c r="I435" s="261">
        <f t="shared" si="62"/>
        <v>0</v>
      </c>
      <c r="J435">
        <v>53750</v>
      </c>
      <c r="K435" s="234">
        <f t="shared" si="63"/>
        <v>0</v>
      </c>
      <c r="L435" s="143">
        <v>81071.42857142858</v>
      </c>
      <c r="M435" s="261">
        <f t="shared" si="64"/>
        <v>0</v>
      </c>
      <c r="N435" s="234">
        <v>53750</v>
      </c>
      <c r="O435" s="234">
        <f t="shared" si="65"/>
        <v>0</v>
      </c>
      <c r="P435" s="143">
        <v>81071.42857142858</v>
      </c>
      <c r="Q435" s="261">
        <f t="shared" si="66"/>
        <v>0</v>
      </c>
      <c r="R435" s="281">
        <v>53750</v>
      </c>
      <c r="S435" s="234">
        <f t="shared" si="67"/>
        <v>0</v>
      </c>
      <c r="T435" s="22">
        <v>81071.42857142858</v>
      </c>
      <c r="U435" s="261">
        <f t="shared" si="68"/>
        <v>0</v>
      </c>
      <c r="V435" s="281">
        <v>53750</v>
      </c>
      <c r="W435" s="234">
        <f t="shared" si="69"/>
        <v>0</v>
      </c>
      <c r="X435" s="22">
        <v>81071.42857142858</v>
      </c>
      <c r="Y435" s="261">
        <f t="shared" si="70"/>
        <v>0</v>
      </c>
    </row>
    <row r="436" spans="1:25">
      <c r="A436" s="2"/>
      <c r="B436" s="71">
        <v>432</v>
      </c>
      <c r="C436" s="174" t="s">
        <v>726</v>
      </c>
      <c r="D436" s="234">
        <v>50750</v>
      </c>
      <c r="E436" s="143">
        <v>76785.71428571429</v>
      </c>
      <c r="F436">
        <v>50750</v>
      </c>
      <c r="G436" s="234">
        <f t="shared" si="61"/>
        <v>0</v>
      </c>
      <c r="H436">
        <v>76785.71428571429</v>
      </c>
      <c r="I436" s="261">
        <f t="shared" si="62"/>
        <v>0</v>
      </c>
      <c r="J436">
        <v>50750</v>
      </c>
      <c r="K436" s="234">
        <f t="shared" si="63"/>
        <v>0</v>
      </c>
      <c r="L436" s="143">
        <v>76785.71428571429</v>
      </c>
      <c r="M436" s="261">
        <f t="shared" si="64"/>
        <v>0</v>
      </c>
      <c r="N436" s="234">
        <v>50750</v>
      </c>
      <c r="O436" s="234">
        <f t="shared" si="65"/>
        <v>0</v>
      </c>
      <c r="P436" s="143">
        <v>69642.857142857145</v>
      </c>
      <c r="Q436" s="261">
        <f t="shared" si="66"/>
        <v>-7142.8571428571449</v>
      </c>
      <c r="R436" s="281">
        <v>50750</v>
      </c>
      <c r="S436" s="234">
        <f t="shared" si="67"/>
        <v>0</v>
      </c>
      <c r="T436" s="22">
        <v>69642.857142857145</v>
      </c>
      <c r="U436" s="261">
        <f t="shared" si="68"/>
        <v>0</v>
      </c>
      <c r="V436" s="281">
        <v>50750</v>
      </c>
      <c r="W436" s="234">
        <f t="shared" si="69"/>
        <v>0</v>
      </c>
      <c r="X436" s="22">
        <v>69642.857142857145</v>
      </c>
      <c r="Y436" s="261">
        <f t="shared" si="70"/>
        <v>0</v>
      </c>
    </row>
    <row r="437" spans="1:25">
      <c r="A437" s="2"/>
      <c r="B437" s="71">
        <v>433</v>
      </c>
      <c r="C437" s="52" t="s">
        <v>441</v>
      </c>
      <c r="D437" s="234">
        <v>51500</v>
      </c>
      <c r="E437" s="143">
        <v>77857.142857142855</v>
      </c>
      <c r="F437">
        <v>51500</v>
      </c>
      <c r="G437" s="234">
        <f t="shared" si="61"/>
        <v>0</v>
      </c>
      <c r="H437">
        <v>77857.142857142855</v>
      </c>
      <c r="I437" s="261">
        <f t="shared" si="62"/>
        <v>0</v>
      </c>
      <c r="J437">
        <v>51500</v>
      </c>
      <c r="K437" s="234">
        <f t="shared" si="63"/>
        <v>0</v>
      </c>
      <c r="L437" s="143">
        <v>77857.142857142855</v>
      </c>
      <c r="M437" s="261">
        <f t="shared" si="64"/>
        <v>0</v>
      </c>
      <c r="N437" s="234">
        <v>51500</v>
      </c>
      <c r="O437" s="234">
        <f t="shared" si="65"/>
        <v>0</v>
      </c>
      <c r="P437" s="143">
        <v>77857.142857142855</v>
      </c>
      <c r="Q437" s="261">
        <f t="shared" si="66"/>
        <v>0</v>
      </c>
      <c r="R437" s="281">
        <v>51500</v>
      </c>
      <c r="S437" s="234">
        <f t="shared" si="67"/>
        <v>0</v>
      </c>
      <c r="T437" s="22">
        <v>77857.142857142855</v>
      </c>
      <c r="U437" s="261">
        <f t="shared" si="68"/>
        <v>0</v>
      </c>
      <c r="V437" s="281">
        <v>51500</v>
      </c>
      <c r="W437" s="234">
        <f t="shared" si="69"/>
        <v>0</v>
      </c>
      <c r="X437" s="22">
        <v>77857.142857142855</v>
      </c>
      <c r="Y437" s="261">
        <f t="shared" si="70"/>
        <v>0</v>
      </c>
    </row>
    <row r="438" spans="1:25">
      <c r="A438" s="71" t="s">
        <v>863</v>
      </c>
      <c r="B438" s="2">
        <v>434</v>
      </c>
      <c r="C438" s="52" t="s">
        <v>442</v>
      </c>
      <c r="D438" s="234">
        <v>33900</v>
      </c>
      <c r="E438" s="143">
        <v>52714.285714285717</v>
      </c>
      <c r="F438">
        <v>33900</v>
      </c>
      <c r="G438" s="234">
        <f t="shared" si="61"/>
        <v>0</v>
      </c>
      <c r="H438">
        <v>59857.142857142862</v>
      </c>
      <c r="I438" s="261">
        <f t="shared" si="62"/>
        <v>7142.8571428571449</v>
      </c>
      <c r="J438">
        <v>33900</v>
      </c>
      <c r="K438" s="234">
        <f t="shared" si="63"/>
        <v>0</v>
      </c>
      <c r="L438" s="143">
        <v>59857.142857142862</v>
      </c>
      <c r="M438" s="261">
        <f t="shared" si="64"/>
        <v>0</v>
      </c>
      <c r="N438" s="234">
        <v>33900</v>
      </c>
      <c r="O438" s="234">
        <f t="shared" si="65"/>
        <v>0</v>
      </c>
      <c r="P438" s="143">
        <v>59857.142857142862</v>
      </c>
      <c r="Q438" s="261">
        <f t="shared" si="66"/>
        <v>0</v>
      </c>
      <c r="R438" s="281">
        <v>33900</v>
      </c>
      <c r="S438" s="234">
        <f t="shared" si="67"/>
        <v>0</v>
      </c>
      <c r="T438" s="22">
        <v>59857.142857142862</v>
      </c>
      <c r="U438" s="261">
        <f t="shared" si="68"/>
        <v>0</v>
      </c>
      <c r="V438" s="281">
        <v>33900</v>
      </c>
      <c r="W438" s="234">
        <f t="shared" si="69"/>
        <v>0</v>
      </c>
      <c r="X438" s="22">
        <v>59857.142857142862</v>
      </c>
      <c r="Y438" s="261">
        <f t="shared" si="70"/>
        <v>0</v>
      </c>
    </row>
    <row r="439" spans="1:25">
      <c r="A439" s="2"/>
      <c r="B439" s="71">
        <v>435</v>
      </c>
      <c r="C439" s="173" t="s">
        <v>727</v>
      </c>
      <c r="D439" s="234">
        <v>101050</v>
      </c>
      <c r="E439" s="143">
        <v>155785.71428571429</v>
      </c>
      <c r="F439">
        <v>101050</v>
      </c>
      <c r="G439" s="234">
        <f t="shared" si="61"/>
        <v>0</v>
      </c>
      <c r="H439">
        <v>155785.71428571429</v>
      </c>
      <c r="I439" s="261">
        <f t="shared" si="62"/>
        <v>0</v>
      </c>
      <c r="J439">
        <v>101050</v>
      </c>
      <c r="K439" s="234">
        <f t="shared" si="63"/>
        <v>0</v>
      </c>
      <c r="L439" s="143">
        <v>155785.71428571429</v>
      </c>
      <c r="M439" s="261">
        <f t="shared" si="64"/>
        <v>0</v>
      </c>
      <c r="N439" s="234">
        <v>101050</v>
      </c>
      <c r="O439" s="234">
        <f t="shared" si="65"/>
        <v>0</v>
      </c>
      <c r="P439" s="143">
        <v>155785.71428571429</v>
      </c>
      <c r="Q439" s="261">
        <f t="shared" si="66"/>
        <v>0</v>
      </c>
      <c r="R439" s="281">
        <v>101050</v>
      </c>
      <c r="S439" s="234">
        <f t="shared" si="67"/>
        <v>0</v>
      </c>
      <c r="T439" s="22">
        <v>155785.71428571429</v>
      </c>
      <c r="U439" s="261">
        <f t="shared" si="68"/>
        <v>0</v>
      </c>
      <c r="V439" s="281">
        <v>101050</v>
      </c>
      <c r="W439" s="234">
        <f t="shared" si="69"/>
        <v>0</v>
      </c>
      <c r="X439" s="22">
        <v>155785.71428571429</v>
      </c>
      <c r="Y439" s="261">
        <f t="shared" si="70"/>
        <v>0</v>
      </c>
    </row>
    <row r="440" spans="1:25">
      <c r="A440" s="2"/>
      <c r="B440" s="71">
        <v>436</v>
      </c>
      <c r="C440" s="48" t="s">
        <v>445</v>
      </c>
      <c r="D440" s="234">
        <v>97250</v>
      </c>
      <c r="E440" s="143">
        <v>143214.28571428571</v>
      </c>
      <c r="F440">
        <v>97250</v>
      </c>
      <c r="G440" s="234">
        <f t="shared" si="61"/>
        <v>0</v>
      </c>
      <c r="H440">
        <v>143214.28571428571</v>
      </c>
      <c r="I440" s="261">
        <f t="shared" si="62"/>
        <v>0</v>
      </c>
      <c r="J440">
        <v>97250</v>
      </c>
      <c r="K440" s="234">
        <f t="shared" si="63"/>
        <v>0</v>
      </c>
      <c r="L440" s="143">
        <v>143214.28571428571</v>
      </c>
      <c r="M440" s="261">
        <f t="shared" si="64"/>
        <v>0</v>
      </c>
      <c r="N440" s="234">
        <v>97250</v>
      </c>
      <c r="O440" s="234">
        <f t="shared" si="65"/>
        <v>0</v>
      </c>
      <c r="P440" s="143">
        <v>141785.71428571429</v>
      </c>
      <c r="Q440" s="261">
        <f t="shared" si="66"/>
        <v>-1428.5714285714203</v>
      </c>
      <c r="R440" s="281">
        <v>97250</v>
      </c>
      <c r="S440" s="234">
        <f t="shared" si="67"/>
        <v>0</v>
      </c>
      <c r="T440" s="22">
        <v>141785.71428571429</v>
      </c>
      <c r="U440" s="261">
        <f t="shared" si="68"/>
        <v>0</v>
      </c>
      <c r="V440" s="281">
        <v>97250</v>
      </c>
      <c r="W440" s="234">
        <f t="shared" si="69"/>
        <v>0</v>
      </c>
      <c r="X440" s="22">
        <v>141785.71428571429</v>
      </c>
      <c r="Y440" s="261">
        <f t="shared" si="70"/>
        <v>0</v>
      </c>
    </row>
    <row r="441" spans="1:25">
      <c r="A441" s="2"/>
      <c r="B441" s="2">
        <v>437</v>
      </c>
      <c r="C441" s="52" t="s">
        <v>447</v>
      </c>
      <c r="D441" s="234">
        <v>78500</v>
      </c>
      <c r="E441" s="143">
        <v>112142.85714285714</v>
      </c>
      <c r="F441">
        <v>78500</v>
      </c>
      <c r="G441" s="234">
        <f t="shared" si="61"/>
        <v>0</v>
      </c>
      <c r="H441">
        <v>112142.85714285714</v>
      </c>
      <c r="I441" s="261">
        <f t="shared" si="62"/>
        <v>0</v>
      </c>
      <c r="J441">
        <v>78500</v>
      </c>
      <c r="K441" s="234">
        <f t="shared" si="63"/>
        <v>0</v>
      </c>
      <c r="L441" s="143">
        <v>112142.85714285714</v>
      </c>
      <c r="M441" s="261">
        <f t="shared" si="64"/>
        <v>0</v>
      </c>
      <c r="N441" s="234">
        <v>78500</v>
      </c>
      <c r="O441" s="234">
        <f t="shared" si="65"/>
        <v>0</v>
      </c>
      <c r="P441" s="143">
        <v>112142.85714285714</v>
      </c>
      <c r="Q441" s="261">
        <f t="shared" si="66"/>
        <v>0</v>
      </c>
      <c r="R441" s="283">
        <v>78500</v>
      </c>
      <c r="S441" s="234">
        <f t="shared" si="67"/>
        <v>0</v>
      </c>
      <c r="T441" s="22">
        <v>112142.85714285714</v>
      </c>
      <c r="U441" s="261">
        <f t="shared" si="68"/>
        <v>0</v>
      </c>
      <c r="V441" s="283">
        <v>78500</v>
      </c>
      <c r="W441" s="234">
        <f t="shared" si="69"/>
        <v>0</v>
      </c>
      <c r="X441" s="22">
        <v>112142.85714285714</v>
      </c>
      <c r="Y441" s="261">
        <f t="shared" si="70"/>
        <v>0</v>
      </c>
    </row>
    <row r="442" spans="1:25">
      <c r="A442" s="71" t="s">
        <v>856</v>
      </c>
      <c r="B442" s="71">
        <v>438</v>
      </c>
      <c r="C442" s="174" t="s">
        <v>728</v>
      </c>
      <c r="D442" s="234">
        <v>75200</v>
      </c>
      <c r="E442" s="143">
        <v>107428.57142857143</v>
      </c>
      <c r="F442">
        <v>76000</v>
      </c>
      <c r="G442" s="234">
        <f t="shared" si="61"/>
        <v>800</v>
      </c>
      <c r="H442">
        <v>108571.42857142858</v>
      </c>
      <c r="I442" s="261">
        <f t="shared" si="62"/>
        <v>1142.8571428571449</v>
      </c>
      <c r="J442">
        <v>76000</v>
      </c>
      <c r="K442" s="234">
        <f t="shared" si="63"/>
        <v>0</v>
      </c>
      <c r="L442" s="143">
        <v>108571.42857142858</v>
      </c>
      <c r="M442" s="261">
        <f t="shared" si="64"/>
        <v>0</v>
      </c>
      <c r="N442" s="234">
        <v>76000</v>
      </c>
      <c r="O442" s="234">
        <f t="shared" si="65"/>
        <v>0</v>
      </c>
      <c r="P442" s="143">
        <v>108571.42857142858</v>
      </c>
      <c r="Q442" s="261">
        <f t="shared" si="66"/>
        <v>0</v>
      </c>
      <c r="R442" s="281">
        <v>76000</v>
      </c>
      <c r="S442" s="234">
        <f t="shared" si="67"/>
        <v>0</v>
      </c>
      <c r="T442" s="22">
        <v>108571.42857142858</v>
      </c>
      <c r="U442" s="261">
        <f t="shared" si="68"/>
        <v>0</v>
      </c>
      <c r="V442" s="281">
        <v>76000</v>
      </c>
      <c r="W442" s="234">
        <f t="shared" si="69"/>
        <v>0</v>
      </c>
      <c r="X442" s="22">
        <v>108571.42857142858</v>
      </c>
      <c r="Y442" s="261">
        <f t="shared" si="70"/>
        <v>0</v>
      </c>
    </row>
    <row r="443" spans="1:25">
      <c r="A443" s="71" t="s">
        <v>856</v>
      </c>
      <c r="B443" s="71">
        <v>439</v>
      </c>
      <c r="C443" s="52" t="s">
        <v>449</v>
      </c>
      <c r="D443" s="234">
        <v>76500</v>
      </c>
      <c r="E443" s="143">
        <v>109285.71428571429</v>
      </c>
      <c r="F443">
        <v>76100</v>
      </c>
      <c r="G443" s="234">
        <f t="shared" si="61"/>
        <v>-400</v>
      </c>
      <c r="H443">
        <v>108714.28571428572</v>
      </c>
      <c r="I443" s="261">
        <f t="shared" si="62"/>
        <v>-571.42857142856519</v>
      </c>
      <c r="J443">
        <v>76100</v>
      </c>
      <c r="K443" s="234">
        <f t="shared" si="63"/>
        <v>0</v>
      </c>
      <c r="L443" s="143">
        <v>108714.28571428572</v>
      </c>
      <c r="M443" s="261">
        <f t="shared" si="64"/>
        <v>0</v>
      </c>
      <c r="N443" s="234">
        <v>76100</v>
      </c>
      <c r="O443" s="234">
        <f t="shared" si="65"/>
        <v>0</v>
      </c>
      <c r="P443" s="143">
        <v>108714.28571428572</v>
      </c>
      <c r="Q443" s="261">
        <f t="shared" si="66"/>
        <v>0</v>
      </c>
      <c r="R443" s="281">
        <v>76100</v>
      </c>
      <c r="S443" s="234">
        <f t="shared" si="67"/>
        <v>0</v>
      </c>
      <c r="T443" s="22">
        <v>108714.28571428572</v>
      </c>
      <c r="U443" s="261">
        <f t="shared" si="68"/>
        <v>0</v>
      </c>
      <c r="V443" s="281">
        <v>76100</v>
      </c>
      <c r="W443" s="234">
        <f t="shared" si="69"/>
        <v>0</v>
      </c>
      <c r="X443" s="22">
        <v>108714.28571428572</v>
      </c>
      <c r="Y443" s="261">
        <f t="shared" si="70"/>
        <v>0</v>
      </c>
    </row>
    <row r="444" spans="1:25">
      <c r="A444" s="2"/>
      <c r="B444" s="2">
        <v>440</v>
      </c>
      <c r="C444" s="48" t="s">
        <v>450</v>
      </c>
      <c r="D444" s="234">
        <v>29600</v>
      </c>
      <c r="E444" s="143">
        <v>49428.571428571435</v>
      </c>
      <c r="F444">
        <v>29600</v>
      </c>
      <c r="G444" s="234">
        <f t="shared" si="61"/>
        <v>0</v>
      </c>
      <c r="H444">
        <v>49428.571428571435</v>
      </c>
      <c r="I444" s="261">
        <f t="shared" si="62"/>
        <v>0</v>
      </c>
      <c r="J444">
        <v>29600</v>
      </c>
      <c r="K444" s="234">
        <f t="shared" si="63"/>
        <v>0</v>
      </c>
      <c r="L444" s="143">
        <v>49428.571428571435</v>
      </c>
      <c r="M444" s="261">
        <f t="shared" si="64"/>
        <v>0</v>
      </c>
      <c r="N444" s="234">
        <v>29600</v>
      </c>
      <c r="O444" s="234">
        <f t="shared" si="65"/>
        <v>0</v>
      </c>
      <c r="P444" s="143">
        <v>49428.571428571435</v>
      </c>
      <c r="Q444" s="261">
        <f t="shared" si="66"/>
        <v>0</v>
      </c>
      <c r="R444" s="281">
        <v>29600</v>
      </c>
      <c r="S444" s="234">
        <f t="shared" si="67"/>
        <v>0</v>
      </c>
      <c r="T444" s="22">
        <v>49428.571428571435</v>
      </c>
      <c r="U444" s="261">
        <f t="shared" si="68"/>
        <v>0</v>
      </c>
      <c r="V444" s="281">
        <v>29600</v>
      </c>
      <c r="W444" s="234">
        <f t="shared" si="69"/>
        <v>0</v>
      </c>
      <c r="X444" s="22">
        <v>49428.571428571435</v>
      </c>
      <c r="Y444" s="261">
        <f t="shared" si="70"/>
        <v>0</v>
      </c>
    </row>
    <row r="445" spans="1:25">
      <c r="A445" s="2"/>
      <c r="B445" s="71">
        <v>441</v>
      </c>
      <c r="C445" s="173" t="s">
        <v>729</v>
      </c>
      <c r="D445" s="234">
        <v>27000</v>
      </c>
      <c r="E445" s="143">
        <v>45714.285714285717</v>
      </c>
      <c r="F445">
        <v>27000</v>
      </c>
      <c r="G445" s="234">
        <f t="shared" si="61"/>
        <v>0</v>
      </c>
      <c r="H445">
        <v>45714.285714285717</v>
      </c>
      <c r="I445" s="261">
        <f t="shared" si="62"/>
        <v>0</v>
      </c>
      <c r="J445">
        <v>27000</v>
      </c>
      <c r="K445" s="234">
        <f t="shared" si="63"/>
        <v>0</v>
      </c>
      <c r="L445" s="143">
        <v>45714.285714285717</v>
      </c>
      <c r="M445" s="261">
        <f t="shared" si="64"/>
        <v>0</v>
      </c>
      <c r="N445" s="234">
        <v>27000</v>
      </c>
      <c r="O445" s="234">
        <f t="shared" si="65"/>
        <v>0</v>
      </c>
      <c r="P445" s="143">
        <v>45714.285714285717</v>
      </c>
      <c r="Q445" s="261">
        <f t="shared" si="66"/>
        <v>0</v>
      </c>
      <c r="R445" s="281">
        <v>27000</v>
      </c>
      <c r="S445" s="234">
        <f t="shared" si="67"/>
        <v>0</v>
      </c>
      <c r="T445" s="22">
        <v>45714.285714285717</v>
      </c>
      <c r="U445" s="261">
        <f t="shared" si="68"/>
        <v>0</v>
      </c>
      <c r="V445" s="281">
        <v>27000</v>
      </c>
      <c r="W445" s="234">
        <f t="shared" si="69"/>
        <v>0</v>
      </c>
      <c r="X445" s="22">
        <v>45714.285714285717</v>
      </c>
      <c r="Y445" s="261">
        <f t="shared" si="70"/>
        <v>0</v>
      </c>
    </row>
    <row r="446" spans="1:25">
      <c r="A446" s="71" t="s">
        <v>855</v>
      </c>
      <c r="B446" s="71">
        <v>442</v>
      </c>
      <c r="C446" s="48" t="s">
        <v>453</v>
      </c>
      <c r="D446" s="234">
        <v>27000</v>
      </c>
      <c r="E446" s="143">
        <v>45714.285714285717</v>
      </c>
      <c r="F446">
        <v>22500</v>
      </c>
      <c r="G446" s="234">
        <f t="shared" si="61"/>
        <v>-4500</v>
      </c>
      <c r="H446">
        <v>43571.428571428572</v>
      </c>
      <c r="I446" s="261">
        <f t="shared" si="62"/>
        <v>-2142.8571428571449</v>
      </c>
      <c r="J446">
        <v>22500</v>
      </c>
      <c r="K446" s="234">
        <f t="shared" si="63"/>
        <v>0</v>
      </c>
      <c r="L446" s="143">
        <v>43571.428571428572</v>
      </c>
      <c r="M446" s="261">
        <f t="shared" si="64"/>
        <v>0</v>
      </c>
      <c r="N446" s="234">
        <v>22500</v>
      </c>
      <c r="O446" s="234">
        <f t="shared" si="65"/>
        <v>0</v>
      </c>
      <c r="P446" s="143">
        <v>43571.428571428572</v>
      </c>
      <c r="Q446" s="261">
        <f t="shared" si="66"/>
        <v>0</v>
      </c>
      <c r="R446" s="281">
        <v>22500</v>
      </c>
      <c r="S446" s="234">
        <f t="shared" si="67"/>
        <v>0</v>
      </c>
      <c r="T446" s="22">
        <v>43571.428571428572</v>
      </c>
      <c r="U446" s="261">
        <f t="shared" si="68"/>
        <v>0</v>
      </c>
      <c r="V446" s="281">
        <v>22500</v>
      </c>
      <c r="W446" s="234">
        <f t="shared" si="69"/>
        <v>0</v>
      </c>
      <c r="X446" s="22">
        <v>43571.428571428572</v>
      </c>
      <c r="Y446" s="261">
        <f t="shared" si="70"/>
        <v>0</v>
      </c>
    </row>
    <row r="447" spans="1:25">
      <c r="A447" s="2"/>
      <c r="B447" s="2">
        <v>443</v>
      </c>
      <c r="C447" s="173" t="s">
        <v>730</v>
      </c>
      <c r="D447" s="234">
        <v>27000</v>
      </c>
      <c r="E447" s="143">
        <v>45714.285714285717</v>
      </c>
      <c r="F447">
        <v>27000</v>
      </c>
      <c r="G447" s="234">
        <f t="shared" si="61"/>
        <v>0</v>
      </c>
      <c r="H447">
        <v>45714.285714285717</v>
      </c>
      <c r="I447" s="261">
        <f t="shared" si="62"/>
        <v>0</v>
      </c>
      <c r="J447">
        <v>27000</v>
      </c>
      <c r="K447" s="234">
        <f t="shared" si="63"/>
        <v>0</v>
      </c>
      <c r="L447" s="143">
        <v>45714.285714285717</v>
      </c>
      <c r="M447" s="261">
        <f t="shared" si="64"/>
        <v>0</v>
      </c>
      <c r="N447" s="234">
        <v>27000</v>
      </c>
      <c r="O447" s="234">
        <f t="shared" si="65"/>
        <v>0</v>
      </c>
      <c r="P447" s="143">
        <v>45714.285714285717</v>
      </c>
      <c r="Q447" s="261">
        <f t="shared" si="66"/>
        <v>0</v>
      </c>
      <c r="R447" s="281">
        <v>27000</v>
      </c>
      <c r="S447" s="234">
        <f t="shared" si="67"/>
        <v>0</v>
      </c>
      <c r="T447" s="22">
        <v>45714.285714285717</v>
      </c>
      <c r="U447" s="261">
        <f t="shared" si="68"/>
        <v>0</v>
      </c>
      <c r="V447" s="281">
        <v>27000</v>
      </c>
      <c r="W447" s="234">
        <f t="shared" si="69"/>
        <v>0</v>
      </c>
      <c r="X447" s="22">
        <v>45714.285714285717</v>
      </c>
      <c r="Y447" s="261">
        <f t="shared" si="70"/>
        <v>0</v>
      </c>
    </row>
    <row r="448" spans="1:25">
      <c r="A448" s="2"/>
      <c r="B448" s="71">
        <v>444</v>
      </c>
      <c r="C448" s="48" t="s">
        <v>454</v>
      </c>
      <c r="D448" s="234">
        <v>27500</v>
      </c>
      <c r="E448" s="143">
        <v>46428.571428571435</v>
      </c>
      <c r="F448">
        <v>27500</v>
      </c>
      <c r="G448" s="234">
        <f t="shared" si="61"/>
        <v>0</v>
      </c>
      <c r="H448">
        <v>46428.571428571435</v>
      </c>
      <c r="I448" s="261">
        <f t="shared" si="62"/>
        <v>0</v>
      </c>
      <c r="J448">
        <v>27500</v>
      </c>
      <c r="K448" s="234">
        <f t="shared" si="63"/>
        <v>0</v>
      </c>
      <c r="L448" s="143">
        <v>46428.571428571435</v>
      </c>
      <c r="M448" s="261">
        <f t="shared" si="64"/>
        <v>0</v>
      </c>
      <c r="N448" s="234">
        <v>27500</v>
      </c>
      <c r="O448" s="234">
        <f t="shared" si="65"/>
        <v>0</v>
      </c>
      <c r="P448" s="143">
        <v>46428.571428571435</v>
      </c>
      <c r="Q448" s="261">
        <f t="shared" si="66"/>
        <v>0</v>
      </c>
      <c r="R448" s="283">
        <v>27500</v>
      </c>
      <c r="S448" s="234">
        <f t="shared" si="67"/>
        <v>0</v>
      </c>
      <c r="T448" s="22">
        <v>46428.571428571435</v>
      </c>
      <c r="U448" s="261">
        <f t="shared" si="68"/>
        <v>0</v>
      </c>
      <c r="V448" s="283">
        <v>27500</v>
      </c>
      <c r="W448" s="234">
        <f t="shared" si="69"/>
        <v>0</v>
      </c>
      <c r="X448" s="22">
        <v>46428.571428571435</v>
      </c>
      <c r="Y448" s="261">
        <f t="shared" si="70"/>
        <v>0</v>
      </c>
    </row>
    <row r="449" spans="1:25">
      <c r="A449" s="2"/>
      <c r="B449" s="71">
        <v>445</v>
      </c>
      <c r="C449" s="173" t="s">
        <v>731</v>
      </c>
      <c r="D449" s="234">
        <v>27500</v>
      </c>
      <c r="E449" s="143">
        <v>46428.571428571435</v>
      </c>
      <c r="F449">
        <v>27500</v>
      </c>
      <c r="G449" s="234">
        <f t="shared" si="61"/>
        <v>0</v>
      </c>
      <c r="H449">
        <v>46428.571428571435</v>
      </c>
      <c r="I449" s="261">
        <f t="shared" si="62"/>
        <v>0</v>
      </c>
      <c r="J449">
        <v>27500</v>
      </c>
      <c r="K449" s="234">
        <f t="shared" si="63"/>
        <v>0</v>
      </c>
      <c r="L449" s="143">
        <v>46428.571428571435</v>
      </c>
      <c r="M449" s="261">
        <f t="shared" si="64"/>
        <v>0</v>
      </c>
      <c r="N449" s="234">
        <v>27500</v>
      </c>
      <c r="O449" s="234">
        <f t="shared" si="65"/>
        <v>0</v>
      </c>
      <c r="P449" s="143">
        <v>46428.571428571435</v>
      </c>
      <c r="Q449" s="261">
        <f t="shared" si="66"/>
        <v>0</v>
      </c>
      <c r="R449" s="281">
        <v>27500</v>
      </c>
      <c r="S449" s="234">
        <f t="shared" si="67"/>
        <v>0</v>
      </c>
      <c r="T449" s="22">
        <v>46428.571428571435</v>
      </c>
      <c r="U449" s="261">
        <f t="shared" si="68"/>
        <v>0</v>
      </c>
      <c r="V449" s="281">
        <v>27500</v>
      </c>
      <c r="W449" s="234">
        <f t="shared" si="69"/>
        <v>0</v>
      </c>
      <c r="X449" s="22">
        <v>46428.571428571435</v>
      </c>
      <c r="Y449" s="261">
        <f t="shared" si="70"/>
        <v>0</v>
      </c>
    </row>
    <row r="450" spans="1:25">
      <c r="A450" s="2"/>
      <c r="B450" s="2">
        <v>446</v>
      </c>
      <c r="C450" s="48" t="s">
        <v>455</v>
      </c>
      <c r="D450" s="234">
        <v>27500</v>
      </c>
      <c r="E450" s="143">
        <v>46428.571428571435</v>
      </c>
      <c r="F450">
        <v>27500</v>
      </c>
      <c r="G450" s="234">
        <f t="shared" si="61"/>
        <v>0</v>
      </c>
      <c r="H450">
        <v>46428.571428571435</v>
      </c>
      <c r="I450" s="261">
        <f t="shared" si="62"/>
        <v>0</v>
      </c>
      <c r="J450">
        <v>27500</v>
      </c>
      <c r="K450" s="234">
        <f t="shared" si="63"/>
        <v>0</v>
      </c>
      <c r="L450" s="143">
        <v>46428.571428571435</v>
      </c>
      <c r="M450" s="261">
        <f t="shared" si="64"/>
        <v>0</v>
      </c>
      <c r="N450" s="234">
        <v>27500</v>
      </c>
      <c r="O450" s="234">
        <f t="shared" si="65"/>
        <v>0</v>
      </c>
      <c r="P450" s="143">
        <v>46428.571428571435</v>
      </c>
      <c r="Q450" s="261">
        <f t="shared" si="66"/>
        <v>0</v>
      </c>
      <c r="R450" s="281">
        <v>27500</v>
      </c>
      <c r="S450" s="234">
        <f t="shared" si="67"/>
        <v>0</v>
      </c>
      <c r="T450" s="22">
        <v>46428.571428571435</v>
      </c>
      <c r="U450" s="261">
        <f t="shared" si="68"/>
        <v>0</v>
      </c>
      <c r="V450" s="281">
        <v>27500</v>
      </c>
      <c r="W450" s="234">
        <f t="shared" si="69"/>
        <v>0</v>
      </c>
      <c r="X450" s="22">
        <v>46428.571428571435</v>
      </c>
      <c r="Y450" s="261">
        <f t="shared" si="70"/>
        <v>0</v>
      </c>
    </row>
    <row r="451" spans="1:25">
      <c r="A451" s="2"/>
      <c r="B451" s="71">
        <v>447</v>
      </c>
      <c r="C451" s="48" t="s">
        <v>456</v>
      </c>
      <c r="D451" s="234">
        <v>27500</v>
      </c>
      <c r="E451" s="143">
        <v>46428.571428571435</v>
      </c>
      <c r="F451">
        <v>27500</v>
      </c>
      <c r="G451" s="234">
        <f t="shared" si="61"/>
        <v>0</v>
      </c>
      <c r="H451">
        <v>46428.571428571435</v>
      </c>
      <c r="I451" s="261">
        <f t="shared" si="62"/>
        <v>0</v>
      </c>
      <c r="J451">
        <v>27500</v>
      </c>
      <c r="K451" s="234">
        <f t="shared" si="63"/>
        <v>0</v>
      </c>
      <c r="L451" s="143">
        <v>46428.571428571435</v>
      </c>
      <c r="M451" s="261">
        <f t="shared" si="64"/>
        <v>0</v>
      </c>
      <c r="N451" s="234">
        <v>27500</v>
      </c>
      <c r="O451" s="234">
        <f t="shared" si="65"/>
        <v>0</v>
      </c>
      <c r="P451" s="143">
        <v>46428.571428571435</v>
      </c>
      <c r="Q451" s="261">
        <f t="shared" si="66"/>
        <v>0</v>
      </c>
      <c r="R451" s="283">
        <v>27500</v>
      </c>
      <c r="S451" s="234">
        <f t="shared" si="67"/>
        <v>0</v>
      </c>
      <c r="T451" s="22">
        <v>46428.571428571435</v>
      </c>
      <c r="U451" s="261">
        <f t="shared" si="68"/>
        <v>0</v>
      </c>
      <c r="V451" s="283">
        <v>27500</v>
      </c>
      <c r="W451" s="234">
        <f t="shared" si="69"/>
        <v>0</v>
      </c>
      <c r="X451" s="22">
        <v>46428.571428571435</v>
      </c>
      <c r="Y451" s="261">
        <f t="shared" si="70"/>
        <v>0</v>
      </c>
    </row>
    <row r="452" spans="1:25">
      <c r="A452" s="2"/>
      <c r="B452" s="71">
        <v>448</v>
      </c>
      <c r="C452" s="48" t="s">
        <v>457</v>
      </c>
      <c r="D452" s="234">
        <v>27000</v>
      </c>
      <c r="E452" s="143">
        <v>45714.285714285717</v>
      </c>
      <c r="F452">
        <v>27000</v>
      </c>
      <c r="G452" s="234">
        <f t="shared" si="61"/>
        <v>0</v>
      </c>
      <c r="H452">
        <v>45714.285714285717</v>
      </c>
      <c r="I452" s="261">
        <f t="shared" si="62"/>
        <v>0</v>
      </c>
      <c r="J452">
        <v>27000</v>
      </c>
      <c r="K452" s="234">
        <f t="shared" si="63"/>
        <v>0</v>
      </c>
      <c r="L452" s="143">
        <v>45714.285714285717</v>
      </c>
      <c r="M452" s="261">
        <f t="shared" si="64"/>
        <v>0</v>
      </c>
      <c r="N452" s="234">
        <v>27000</v>
      </c>
      <c r="O452" s="234">
        <f t="shared" si="65"/>
        <v>0</v>
      </c>
      <c r="P452" s="143">
        <v>45714.285714285717</v>
      </c>
      <c r="Q452" s="261">
        <f t="shared" si="66"/>
        <v>0</v>
      </c>
      <c r="R452" s="281">
        <v>27000</v>
      </c>
      <c r="S452" s="234">
        <f t="shared" si="67"/>
        <v>0</v>
      </c>
      <c r="T452" s="22">
        <v>45714.285714285717</v>
      </c>
      <c r="U452" s="261">
        <f t="shared" si="68"/>
        <v>0</v>
      </c>
      <c r="V452" s="281">
        <v>27000</v>
      </c>
      <c r="W452" s="234">
        <f t="shared" si="69"/>
        <v>0</v>
      </c>
      <c r="X452" s="22">
        <v>45714.285714285717</v>
      </c>
      <c r="Y452" s="261">
        <f t="shared" si="70"/>
        <v>0</v>
      </c>
    </row>
    <row r="453" spans="1:25">
      <c r="A453" s="2"/>
      <c r="B453" s="2">
        <v>449</v>
      </c>
      <c r="C453" s="48" t="s">
        <v>458</v>
      </c>
      <c r="D453" s="234">
        <v>27500</v>
      </c>
      <c r="E453" s="143">
        <v>46428.571428571435</v>
      </c>
      <c r="F453">
        <v>27500</v>
      </c>
      <c r="G453" s="234">
        <f t="shared" si="61"/>
        <v>0</v>
      </c>
      <c r="H453">
        <v>46428.571428571435</v>
      </c>
      <c r="I453" s="261">
        <f t="shared" si="62"/>
        <v>0</v>
      </c>
      <c r="J453">
        <v>27500</v>
      </c>
      <c r="K453" s="234">
        <f t="shared" si="63"/>
        <v>0</v>
      </c>
      <c r="L453" s="143">
        <v>46428.571428571435</v>
      </c>
      <c r="M453" s="261">
        <f t="shared" si="64"/>
        <v>0</v>
      </c>
      <c r="N453" s="234">
        <v>27500</v>
      </c>
      <c r="O453" s="234">
        <f t="shared" si="65"/>
        <v>0</v>
      </c>
      <c r="P453" s="143">
        <v>46428.571428571435</v>
      </c>
      <c r="Q453" s="261">
        <f t="shared" si="66"/>
        <v>0</v>
      </c>
      <c r="R453" s="281">
        <v>27500</v>
      </c>
      <c r="S453" s="234">
        <f t="shared" si="67"/>
        <v>0</v>
      </c>
      <c r="T453" s="22">
        <v>46428.571428571435</v>
      </c>
      <c r="U453" s="261">
        <f t="shared" si="68"/>
        <v>0</v>
      </c>
      <c r="V453" s="281">
        <v>27500</v>
      </c>
      <c r="W453" s="234">
        <f t="shared" si="69"/>
        <v>0</v>
      </c>
      <c r="X453" s="22">
        <v>46428.571428571435</v>
      </c>
      <c r="Y453" s="261">
        <f t="shared" si="70"/>
        <v>0</v>
      </c>
    </row>
    <row r="454" spans="1:25">
      <c r="A454" s="2"/>
      <c r="B454" s="71">
        <v>450</v>
      </c>
      <c r="C454" s="48" t="s">
        <v>459</v>
      </c>
      <c r="D454" s="234">
        <v>28600</v>
      </c>
      <c r="E454" s="143">
        <v>48000</v>
      </c>
      <c r="F454">
        <v>28600</v>
      </c>
      <c r="G454" s="234">
        <f t="shared" ref="G454:G515" si="71">F454-D454</f>
        <v>0</v>
      </c>
      <c r="H454">
        <v>48000</v>
      </c>
      <c r="I454" s="261">
        <f t="shared" ref="I454:I515" si="72">H454-E454</f>
        <v>0</v>
      </c>
      <c r="J454">
        <v>28600</v>
      </c>
      <c r="K454" s="234">
        <f t="shared" ref="K454:K515" si="73">J454-F454</f>
        <v>0</v>
      </c>
      <c r="L454" s="143">
        <v>48000</v>
      </c>
      <c r="M454" s="261">
        <f t="shared" ref="M454:M515" si="74">L454-H454</f>
        <v>0</v>
      </c>
      <c r="N454" s="234">
        <v>28600</v>
      </c>
      <c r="O454" s="234">
        <f t="shared" ref="O454:O515" si="75">N454-J454</f>
        <v>0</v>
      </c>
      <c r="P454" s="143">
        <v>48000</v>
      </c>
      <c r="Q454" s="261">
        <f t="shared" ref="Q454:Q515" si="76">P454-L454</f>
        <v>0</v>
      </c>
      <c r="R454" s="281">
        <v>28600</v>
      </c>
      <c r="S454" s="234">
        <f t="shared" ref="S454:S515" si="77">R454-N454</f>
        <v>0</v>
      </c>
      <c r="T454" s="22">
        <v>48000</v>
      </c>
      <c r="U454" s="261">
        <f t="shared" ref="U454:U515" si="78">T454-P454</f>
        <v>0</v>
      </c>
      <c r="V454" s="281">
        <v>28600</v>
      </c>
      <c r="W454" s="234">
        <f t="shared" ref="W454:W515" si="79">V454-R454</f>
        <v>0</v>
      </c>
      <c r="X454" s="22">
        <v>48000</v>
      </c>
      <c r="Y454" s="261">
        <f t="shared" ref="Y454:Y515" si="80">X454-T454</f>
        <v>0</v>
      </c>
    </row>
    <row r="455" spans="1:25">
      <c r="A455" s="2"/>
      <c r="B455" s="71">
        <v>451</v>
      </c>
      <c r="C455" s="48" t="s">
        <v>460</v>
      </c>
      <c r="D455" s="234">
        <v>28600</v>
      </c>
      <c r="E455" s="143">
        <v>48000</v>
      </c>
      <c r="F455">
        <v>28600</v>
      </c>
      <c r="G455" s="234">
        <f t="shared" si="71"/>
        <v>0</v>
      </c>
      <c r="H455">
        <v>48000</v>
      </c>
      <c r="I455" s="261">
        <f t="shared" si="72"/>
        <v>0</v>
      </c>
      <c r="J455">
        <v>28600</v>
      </c>
      <c r="K455" s="234">
        <f t="shared" si="73"/>
        <v>0</v>
      </c>
      <c r="L455" s="143">
        <v>48000</v>
      </c>
      <c r="M455" s="261">
        <f t="shared" si="74"/>
        <v>0</v>
      </c>
      <c r="N455" s="234">
        <v>28600</v>
      </c>
      <c r="O455" s="234">
        <f t="shared" si="75"/>
        <v>0</v>
      </c>
      <c r="P455" s="143">
        <v>48000</v>
      </c>
      <c r="Q455" s="261">
        <f t="shared" si="76"/>
        <v>0</v>
      </c>
      <c r="R455" s="281">
        <v>28600</v>
      </c>
      <c r="S455" s="234">
        <f t="shared" si="77"/>
        <v>0</v>
      </c>
      <c r="T455" s="22">
        <v>48000</v>
      </c>
      <c r="U455" s="261">
        <f t="shared" si="78"/>
        <v>0</v>
      </c>
      <c r="V455" s="281">
        <v>28600</v>
      </c>
      <c r="W455" s="234">
        <f t="shared" si="79"/>
        <v>0</v>
      </c>
      <c r="X455" s="22">
        <v>48000</v>
      </c>
      <c r="Y455" s="261">
        <f t="shared" si="80"/>
        <v>0</v>
      </c>
    </row>
    <row r="456" spans="1:25">
      <c r="A456" s="2"/>
      <c r="B456" s="2">
        <v>452</v>
      </c>
      <c r="C456" s="48" t="s">
        <v>461</v>
      </c>
      <c r="D456" s="234">
        <v>28000</v>
      </c>
      <c r="E456" s="143">
        <v>47142.857142857145</v>
      </c>
      <c r="F456">
        <v>28000</v>
      </c>
      <c r="G456" s="234">
        <f t="shared" si="71"/>
        <v>0</v>
      </c>
      <c r="H456">
        <v>47142.857142857145</v>
      </c>
      <c r="I456" s="261">
        <f t="shared" si="72"/>
        <v>0</v>
      </c>
      <c r="J456">
        <v>28000</v>
      </c>
      <c r="K456" s="234">
        <f t="shared" si="73"/>
        <v>0</v>
      </c>
      <c r="L456" s="143">
        <v>47142.857142857145</v>
      </c>
      <c r="M456" s="261">
        <f t="shared" si="74"/>
        <v>0</v>
      </c>
      <c r="N456" s="234">
        <v>28000</v>
      </c>
      <c r="O456" s="234">
        <f t="shared" si="75"/>
        <v>0</v>
      </c>
      <c r="P456" s="143">
        <v>47142.857142857145</v>
      </c>
      <c r="Q456" s="261">
        <f t="shared" si="76"/>
        <v>0</v>
      </c>
      <c r="R456" s="283">
        <v>28000</v>
      </c>
      <c r="S456" s="234">
        <f t="shared" si="77"/>
        <v>0</v>
      </c>
      <c r="T456" s="22">
        <v>47142.857142857145</v>
      </c>
      <c r="U456" s="261">
        <f t="shared" si="78"/>
        <v>0</v>
      </c>
      <c r="V456" s="283">
        <v>28000</v>
      </c>
      <c r="W456" s="234">
        <f t="shared" si="79"/>
        <v>0</v>
      </c>
      <c r="X456" s="22">
        <v>47142.857142857145</v>
      </c>
      <c r="Y456" s="261">
        <f t="shared" si="80"/>
        <v>0</v>
      </c>
    </row>
    <row r="457" spans="1:25">
      <c r="A457" s="2"/>
      <c r="B457" s="71">
        <v>453</v>
      </c>
      <c r="C457" s="48" t="s">
        <v>462</v>
      </c>
      <c r="D457" s="234">
        <v>25000</v>
      </c>
      <c r="E457" s="143">
        <v>42857.142857142862</v>
      </c>
      <c r="F457">
        <v>25000</v>
      </c>
      <c r="G457" s="234">
        <f t="shared" si="71"/>
        <v>0</v>
      </c>
      <c r="H457">
        <v>42857.142857142862</v>
      </c>
      <c r="I457" s="261">
        <f t="shared" si="72"/>
        <v>0</v>
      </c>
      <c r="J457">
        <v>25000</v>
      </c>
      <c r="K457" s="234">
        <f t="shared" si="73"/>
        <v>0</v>
      </c>
      <c r="L457" s="143">
        <v>42857.142857142862</v>
      </c>
      <c r="M457" s="261">
        <f t="shared" si="74"/>
        <v>0</v>
      </c>
      <c r="N457" s="234">
        <v>25000</v>
      </c>
      <c r="O457" s="234">
        <f t="shared" si="75"/>
        <v>0</v>
      </c>
      <c r="P457" s="143">
        <v>42857.142857142862</v>
      </c>
      <c r="Q457" s="261">
        <f t="shared" si="76"/>
        <v>0</v>
      </c>
      <c r="R457" s="281">
        <v>25000</v>
      </c>
      <c r="S457" s="234">
        <f t="shared" si="77"/>
        <v>0</v>
      </c>
      <c r="T457" s="22">
        <v>42857.142857142862</v>
      </c>
      <c r="U457" s="261">
        <f t="shared" si="78"/>
        <v>0</v>
      </c>
      <c r="V457" s="281">
        <v>25000</v>
      </c>
      <c r="W457" s="234">
        <f t="shared" si="79"/>
        <v>0</v>
      </c>
      <c r="X457" s="22">
        <v>42857.142857142862</v>
      </c>
      <c r="Y457" s="261">
        <f t="shared" si="80"/>
        <v>0</v>
      </c>
    </row>
    <row r="458" spans="1:25">
      <c r="A458" s="2"/>
      <c r="B458" s="71">
        <v>454</v>
      </c>
      <c r="C458" s="48" t="s">
        <v>463</v>
      </c>
      <c r="D458" s="234">
        <v>28000</v>
      </c>
      <c r="E458" s="143">
        <v>47142.857142857145</v>
      </c>
      <c r="F458">
        <v>28000</v>
      </c>
      <c r="G458" s="234">
        <f t="shared" si="71"/>
        <v>0</v>
      </c>
      <c r="H458">
        <v>47142.857142857145</v>
      </c>
      <c r="I458" s="261">
        <f t="shared" si="72"/>
        <v>0</v>
      </c>
      <c r="J458">
        <v>28000</v>
      </c>
      <c r="K458" s="234">
        <f t="shared" si="73"/>
        <v>0</v>
      </c>
      <c r="L458" s="143">
        <v>47142.857142857145</v>
      </c>
      <c r="M458" s="261">
        <f t="shared" si="74"/>
        <v>0</v>
      </c>
      <c r="N458" s="234">
        <v>28000</v>
      </c>
      <c r="O458" s="234">
        <f t="shared" si="75"/>
        <v>0</v>
      </c>
      <c r="P458" s="143">
        <v>47142.857142857145</v>
      </c>
      <c r="Q458" s="261">
        <f t="shared" si="76"/>
        <v>0</v>
      </c>
      <c r="R458" s="281">
        <v>28000</v>
      </c>
      <c r="S458" s="234">
        <f t="shared" si="77"/>
        <v>0</v>
      </c>
      <c r="T458" s="22">
        <v>47142.857142857145</v>
      </c>
      <c r="U458" s="261">
        <f t="shared" si="78"/>
        <v>0</v>
      </c>
      <c r="V458" s="281">
        <v>28000</v>
      </c>
      <c r="W458" s="234">
        <f t="shared" si="79"/>
        <v>0</v>
      </c>
      <c r="X458" s="22">
        <v>47142.857142857145</v>
      </c>
      <c r="Y458" s="261">
        <f t="shared" si="80"/>
        <v>0</v>
      </c>
    </row>
    <row r="459" spans="1:25">
      <c r="A459" s="2"/>
      <c r="B459" s="2">
        <v>455</v>
      </c>
      <c r="C459" s="173" t="s">
        <v>732</v>
      </c>
      <c r="D459" s="234">
        <v>27500</v>
      </c>
      <c r="E459" s="143">
        <v>46428.571428571435</v>
      </c>
      <c r="F459">
        <v>27500</v>
      </c>
      <c r="G459" s="234">
        <f t="shared" si="71"/>
        <v>0</v>
      </c>
      <c r="H459">
        <v>46428.571428571435</v>
      </c>
      <c r="I459" s="261">
        <f t="shared" si="72"/>
        <v>0</v>
      </c>
      <c r="J459">
        <v>27500</v>
      </c>
      <c r="K459" s="234">
        <f t="shared" si="73"/>
        <v>0</v>
      </c>
      <c r="L459" s="143">
        <v>46428.571428571435</v>
      </c>
      <c r="M459" s="261">
        <f t="shared" si="74"/>
        <v>0</v>
      </c>
      <c r="N459" s="234">
        <v>27500</v>
      </c>
      <c r="O459" s="234">
        <f t="shared" si="75"/>
        <v>0</v>
      </c>
      <c r="P459" s="143">
        <v>46428.571428571435</v>
      </c>
      <c r="Q459" s="261">
        <f t="shared" si="76"/>
        <v>0</v>
      </c>
      <c r="R459" s="281">
        <v>27500</v>
      </c>
      <c r="S459" s="234">
        <f t="shared" si="77"/>
        <v>0</v>
      </c>
      <c r="T459" s="22">
        <v>46428.571428571435</v>
      </c>
      <c r="U459" s="261">
        <f t="shared" si="78"/>
        <v>0</v>
      </c>
      <c r="V459" s="281">
        <v>27500</v>
      </c>
      <c r="W459" s="234">
        <f t="shared" si="79"/>
        <v>0</v>
      </c>
      <c r="X459" s="22">
        <v>46428.571428571435</v>
      </c>
      <c r="Y459" s="261">
        <f t="shared" si="80"/>
        <v>0</v>
      </c>
    </row>
    <row r="460" spans="1:25">
      <c r="A460" s="2"/>
      <c r="B460" s="71">
        <v>456</v>
      </c>
      <c r="C460" s="48" t="s">
        <v>464</v>
      </c>
      <c r="D460" s="234">
        <v>26000</v>
      </c>
      <c r="E460" s="143">
        <v>44285.71428571429</v>
      </c>
      <c r="F460">
        <v>26000</v>
      </c>
      <c r="G460" s="234">
        <f t="shared" si="71"/>
        <v>0</v>
      </c>
      <c r="H460">
        <v>44285.71428571429</v>
      </c>
      <c r="I460" s="261">
        <f t="shared" si="72"/>
        <v>0</v>
      </c>
      <c r="J460">
        <v>26000</v>
      </c>
      <c r="K460" s="234">
        <f t="shared" si="73"/>
        <v>0</v>
      </c>
      <c r="L460" s="143">
        <v>44285.71428571429</v>
      </c>
      <c r="M460" s="261">
        <f t="shared" si="74"/>
        <v>0</v>
      </c>
      <c r="N460" s="234">
        <v>26000</v>
      </c>
      <c r="O460" s="234">
        <f t="shared" si="75"/>
        <v>0</v>
      </c>
      <c r="P460" s="143">
        <v>44285.71428571429</v>
      </c>
      <c r="Q460" s="261">
        <f t="shared" si="76"/>
        <v>0</v>
      </c>
      <c r="R460" s="281">
        <v>26000</v>
      </c>
      <c r="S460" s="234">
        <f t="shared" si="77"/>
        <v>0</v>
      </c>
      <c r="T460" s="22">
        <v>44285.71428571429</v>
      </c>
      <c r="U460" s="261">
        <f t="shared" si="78"/>
        <v>0</v>
      </c>
      <c r="V460" s="281">
        <v>26000</v>
      </c>
      <c r="W460" s="234">
        <f t="shared" si="79"/>
        <v>0</v>
      </c>
      <c r="X460" s="22">
        <v>44285.71428571429</v>
      </c>
      <c r="Y460" s="261">
        <f t="shared" si="80"/>
        <v>0</v>
      </c>
    </row>
    <row r="461" spans="1:25">
      <c r="A461" s="2"/>
      <c r="B461" s="71">
        <v>457</v>
      </c>
      <c r="C461" s="173" t="s">
        <v>733</v>
      </c>
      <c r="D461" s="234">
        <v>28000</v>
      </c>
      <c r="E461" s="143">
        <v>47142.857142857145</v>
      </c>
      <c r="F461">
        <v>28000</v>
      </c>
      <c r="G461" s="234">
        <f t="shared" si="71"/>
        <v>0</v>
      </c>
      <c r="H461">
        <v>47142.857142857145</v>
      </c>
      <c r="I461" s="261">
        <f t="shared" si="72"/>
        <v>0</v>
      </c>
      <c r="J461">
        <v>28000</v>
      </c>
      <c r="K461" s="234">
        <f t="shared" si="73"/>
        <v>0</v>
      </c>
      <c r="L461" s="143">
        <v>47142.857142857145</v>
      </c>
      <c r="M461" s="261">
        <f t="shared" si="74"/>
        <v>0</v>
      </c>
      <c r="N461" s="234">
        <v>28000</v>
      </c>
      <c r="O461" s="234">
        <f t="shared" si="75"/>
        <v>0</v>
      </c>
      <c r="P461" s="143">
        <v>47142.857142857145</v>
      </c>
      <c r="Q461" s="261">
        <f t="shared" si="76"/>
        <v>0</v>
      </c>
      <c r="R461" s="281">
        <v>28000</v>
      </c>
      <c r="S461" s="234">
        <f t="shared" si="77"/>
        <v>0</v>
      </c>
      <c r="T461" s="22">
        <v>47142.857142857145</v>
      </c>
      <c r="U461" s="261">
        <f t="shared" si="78"/>
        <v>0</v>
      </c>
      <c r="V461" s="281">
        <v>28000</v>
      </c>
      <c r="W461" s="234">
        <f t="shared" si="79"/>
        <v>0</v>
      </c>
      <c r="X461" s="22">
        <v>47142.857142857145</v>
      </c>
      <c r="Y461" s="261">
        <f t="shared" si="80"/>
        <v>0</v>
      </c>
    </row>
    <row r="462" spans="1:25">
      <c r="A462" s="2"/>
      <c r="B462" s="2">
        <v>458</v>
      </c>
      <c r="C462" s="174" t="s">
        <v>734</v>
      </c>
      <c r="D462" s="234">
        <v>65000</v>
      </c>
      <c r="E462" s="143">
        <v>88571.42857142858</v>
      </c>
      <c r="F462">
        <v>65000</v>
      </c>
      <c r="G462" s="234">
        <f t="shared" si="71"/>
        <v>0</v>
      </c>
      <c r="H462">
        <v>88571.42857142858</v>
      </c>
      <c r="I462" s="261">
        <f t="shared" si="72"/>
        <v>0</v>
      </c>
      <c r="J462">
        <v>65000</v>
      </c>
      <c r="K462" s="234">
        <f t="shared" si="73"/>
        <v>0</v>
      </c>
      <c r="L462" s="143">
        <v>88571.42857142858</v>
      </c>
      <c r="M462" s="261">
        <f t="shared" si="74"/>
        <v>0</v>
      </c>
      <c r="N462" s="234">
        <v>65000</v>
      </c>
      <c r="O462" s="234">
        <f t="shared" si="75"/>
        <v>0</v>
      </c>
      <c r="P462" s="143">
        <v>87142.857142857145</v>
      </c>
      <c r="Q462" s="261">
        <f t="shared" si="76"/>
        <v>-1428.5714285714348</v>
      </c>
      <c r="R462" s="281">
        <v>65000</v>
      </c>
      <c r="S462" s="234">
        <f t="shared" si="77"/>
        <v>0</v>
      </c>
      <c r="T462" s="22">
        <v>87142.857142857145</v>
      </c>
      <c r="U462" s="261">
        <f t="shared" si="78"/>
        <v>0</v>
      </c>
      <c r="V462" s="281">
        <v>65000</v>
      </c>
      <c r="W462" s="234">
        <f t="shared" si="79"/>
        <v>0</v>
      </c>
      <c r="X462" s="22">
        <v>87142.857142857145</v>
      </c>
      <c r="Y462" s="261">
        <f t="shared" si="80"/>
        <v>0</v>
      </c>
    </row>
    <row r="463" spans="1:25">
      <c r="A463" s="2"/>
      <c r="B463" s="71">
        <v>459</v>
      </c>
      <c r="C463" s="174" t="s">
        <v>735</v>
      </c>
      <c r="D463" s="234">
        <v>53300</v>
      </c>
      <c r="E463" s="143">
        <v>76142.857142857145</v>
      </c>
      <c r="F463">
        <v>53300</v>
      </c>
      <c r="G463" s="234">
        <f t="shared" si="71"/>
        <v>0</v>
      </c>
      <c r="H463">
        <v>76142.857142857145</v>
      </c>
      <c r="I463" s="261">
        <f t="shared" si="72"/>
        <v>0</v>
      </c>
      <c r="J463">
        <v>53300</v>
      </c>
      <c r="K463" s="234">
        <f t="shared" si="73"/>
        <v>0</v>
      </c>
      <c r="L463" s="143">
        <v>76142.857142857145</v>
      </c>
      <c r="M463" s="261">
        <f t="shared" si="74"/>
        <v>0</v>
      </c>
      <c r="N463" s="234">
        <v>53300</v>
      </c>
      <c r="O463" s="234">
        <f t="shared" si="75"/>
        <v>0</v>
      </c>
      <c r="P463" s="143">
        <v>76142.857142857145</v>
      </c>
      <c r="Q463" s="261">
        <f t="shared" si="76"/>
        <v>0</v>
      </c>
      <c r="R463" s="281">
        <v>53300</v>
      </c>
      <c r="S463" s="234">
        <f t="shared" si="77"/>
        <v>0</v>
      </c>
      <c r="T463" s="22">
        <v>76142.857142857145</v>
      </c>
      <c r="U463" s="261">
        <f t="shared" si="78"/>
        <v>0</v>
      </c>
      <c r="V463" s="281">
        <v>53300</v>
      </c>
      <c r="W463" s="234">
        <f t="shared" si="79"/>
        <v>0</v>
      </c>
      <c r="X463" s="22">
        <v>76142.857142857145</v>
      </c>
      <c r="Y463" s="261">
        <f t="shared" si="80"/>
        <v>0</v>
      </c>
    </row>
    <row r="464" spans="1:25">
      <c r="A464" s="2"/>
      <c r="B464" s="71">
        <v>460</v>
      </c>
      <c r="C464" s="52" t="s">
        <v>467</v>
      </c>
      <c r="D464" s="234">
        <v>61700</v>
      </c>
      <c r="E464" s="143">
        <v>88142.857142857145</v>
      </c>
      <c r="F464">
        <v>61700</v>
      </c>
      <c r="G464" s="234">
        <f t="shared" si="71"/>
        <v>0</v>
      </c>
      <c r="H464">
        <v>88142.857142857145</v>
      </c>
      <c r="I464" s="261">
        <f t="shared" si="72"/>
        <v>0</v>
      </c>
      <c r="J464">
        <v>61700</v>
      </c>
      <c r="K464" s="234">
        <f t="shared" si="73"/>
        <v>0</v>
      </c>
      <c r="L464" s="143">
        <v>88142.857142857145</v>
      </c>
      <c r="M464" s="261">
        <f t="shared" si="74"/>
        <v>0</v>
      </c>
      <c r="N464" s="234">
        <v>61700</v>
      </c>
      <c r="O464" s="234">
        <f t="shared" si="75"/>
        <v>0</v>
      </c>
      <c r="P464" s="143">
        <v>88142.857142857145</v>
      </c>
      <c r="Q464" s="261">
        <f t="shared" si="76"/>
        <v>0</v>
      </c>
      <c r="R464" s="281">
        <v>61700</v>
      </c>
      <c r="S464" s="234">
        <f t="shared" si="77"/>
        <v>0</v>
      </c>
      <c r="T464" s="22">
        <v>88142.857142857145</v>
      </c>
      <c r="U464" s="261">
        <f t="shared" si="78"/>
        <v>0</v>
      </c>
      <c r="V464" s="281">
        <v>61700</v>
      </c>
      <c r="W464" s="234">
        <f t="shared" si="79"/>
        <v>0</v>
      </c>
      <c r="X464" s="22">
        <v>88142.857142857145</v>
      </c>
      <c r="Y464" s="261">
        <f t="shared" si="80"/>
        <v>0</v>
      </c>
    </row>
    <row r="465" spans="1:25">
      <c r="A465" s="2"/>
      <c r="B465" s="2">
        <v>461</v>
      </c>
      <c r="C465" s="52" t="s">
        <v>468</v>
      </c>
      <c r="D465" s="234">
        <v>54200</v>
      </c>
      <c r="E465" s="143">
        <v>78857.142857142855</v>
      </c>
      <c r="F465">
        <v>54200</v>
      </c>
      <c r="G465" s="234">
        <f t="shared" si="71"/>
        <v>0</v>
      </c>
      <c r="H465">
        <v>78857.142857142855</v>
      </c>
      <c r="I465" s="261">
        <f t="shared" si="72"/>
        <v>0</v>
      </c>
      <c r="J465">
        <v>54200</v>
      </c>
      <c r="K465" s="234">
        <f t="shared" si="73"/>
        <v>0</v>
      </c>
      <c r="L465" s="143">
        <v>78857.142857142855</v>
      </c>
      <c r="M465" s="261">
        <f t="shared" si="74"/>
        <v>0</v>
      </c>
      <c r="N465" s="234">
        <v>54200</v>
      </c>
      <c r="O465" s="234">
        <f t="shared" si="75"/>
        <v>0</v>
      </c>
      <c r="P465" s="143">
        <v>78857.142857142855</v>
      </c>
      <c r="Q465" s="261">
        <f t="shared" si="76"/>
        <v>0</v>
      </c>
      <c r="R465" s="281">
        <v>54200</v>
      </c>
      <c r="S465" s="234">
        <f t="shared" si="77"/>
        <v>0</v>
      </c>
      <c r="T465" s="22">
        <v>78857.142857142855</v>
      </c>
      <c r="U465" s="261">
        <f t="shared" si="78"/>
        <v>0</v>
      </c>
      <c r="V465" s="281">
        <v>54200</v>
      </c>
      <c r="W465" s="234">
        <f t="shared" si="79"/>
        <v>0</v>
      </c>
      <c r="X465" s="22">
        <v>78857.142857142855</v>
      </c>
      <c r="Y465" s="261">
        <f t="shared" si="80"/>
        <v>0</v>
      </c>
    </row>
    <row r="466" spans="1:25">
      <c r="A466" s="2"/>
      <c r="B466" s="71">
        <v>462</v>
      </c>
      <c r="C466" s="52" t="s">
        <v>469</v>
      </c>
      <c r="D466" s="234">
        <v>52500</v>
      </c>
      <c r="E466" s="143">
        <v>75000</v>
      </c>
      <c r="F466">
        <v>52500</v>
      </c>
      <c r="G466" s="234">
        <f t="shared" si="71"/>
        <v>0</v>
      </c>
      <c r="H466">
        <v>75000</v>
      </c>
      <c r="I466" s="261">
        <f t="shared" si="72"/>
        <v>0</v>
      </c>
      <c r="J466">
        <v>52500</v>
      </c>
      <c r="K466" s="234">
        <f t="shared" si="73"/>
        <v>0</v>
      </c>
      <c r="L466" s="143">
        <v>75000</v>
      </c>
      <c r="M466" s="261">
        <f t="shared" si="74"/>
        <v>0</v>
      </c>
      <c r="N466" s="234">
        <v>52500</v>
      </c>
      <c r="O466" s="234">
        <f t="shared" si="75"/>
        <v>0</v>
      </c>
      <c r="P466" s="143">
        <v>75000</v>
      </c>
      <c r="Q466" s="261">
        <f t="shared" si="76"/>
        <v>0</v>
      </c>
      <c r="R466" s="281">
        <v>52500</v>
      </c>
      <c r="S466" s="234">
        <f t="shared" si="77"/>
        <v>0</v>
      </c>
      <c r="T466" s="22">
        <v>75000</v>
      </c>
      <c r="U466" s="261">
        <f t="shared" si="78"/>
        <v>0</v>
      </c>
      <c r="V466" s="281">
        <v>52500</v>
      </c>
      <c r="W466" s="234">
        <f t="shared" si="79"/>
        <v>0</v>
      </c>
      <c r="X466" s="22">
        <v>75000</v>
      </c>
      <c r="Y466" s="261">
        <f t="shared" si="80"/>
        <v>0</v>
      </c>
    </row>
    <row r="467" spans="1:25">
      <c r="A467" s="2"/>
      <c r="B467" s="71">
        <v>463</v>
      </c>
      <c r="C467" s="52" t="s">
        <v>470</v>
      </c>
      <c r="D467" s="234">
        <v>52000</v>
      </c>
      <c r="E467" s="143">
        <v>74285.71428571429</v>
      </c>
      <c r="F467">
        <v>52000</v>
      </c>
      <c r="G467" s="234">
        <f t="shared" si="71"/>
        <v>0</v>
      </c>
      <c r="H467">
        <v>74285.71428571429</v>
      </c>
      <c r="I467" s="261">
        <f t="shared" si="72"/>
        <v>0</v>
      </c>
      <c r="J467">
        <v>52000</v>
      </c>
      <c r="K467" s="234">
        <f t="shared" si="73"/>
        <v>0</v>
      </c>
      <c r="L467" s="143">
        <v>74285.71428571429</v>
      </c>
      <c r="M467" s="261">
        <f t="shared" si="74"/>
        <v>0</v>
      </c>
      <c r="N467" s="234">
        <v>52000</v>
      </c>
      <c r="O467" s="234">
        <f t="shared" si="75"/>
        <v>0</v>
      </c>
      <c r="P467" s="143">
        <v>74285.71428571429</v>
      </c>
      <c r="Q467" s="261">
        <f t="shared" si="76"/>
        <v>0</v>
      </c>
      <c r="R467" s="281">
        <v>52000</v>
      </c>
      <c r="S467" s="234">
        <f t="shared" si="77"/>
        <v>0</v>
      </c>
      <c r="T467" s="22">
        <v>74285.71428571429</v>
      </c>
      <c r="U467" s="261">
        <f t="shared" si="78"/>
        <v>0</v>
      </c>
      <c r="V467" s="281">
        <v>52000</v>
      </c>
      <c r="W467" s="234">
        <f t="shared" si="79"/>
        <v>0</v>
      </c>
      <c r="X467" s="22">
        <v>74285.71428571429</v>
      </c>
      <c r="Y467" s="261">
        <f t="shared" si="80"/>
        <v>0</v>
      </c>
    </row>
    <row r="468" spans="1:25">
      <c r="A468" s="2"/>
      <c r="B468" s="2">
        <v>464</v>
      </c>
      <c r="C468" s="52" t="s">
        <v>471</v>
      </c>
      <c r="D468" s="234">
        <v>70700</v>
      </c>
      <c r="E468" s="143">
        <v>101000</v>
      </c>
      <c r="F468">
        <v>70700</v>
      </c>
      <c r="G468" s="234">
        <f t="shared" si="71"/>
        <v>0</v>
      </c>
      <c r="H468">
        <v>101000</v>
      </c>
      <c r="I468" s="261">
        <f t="shared" si="72"/>
        <v>0</v>
      </c>
      <c r="J468">
        <v>70700</v>
      </c>
      <c r="K468" s="234">
        <f t="shared" si="73"/>
        <v>0</v>
      </c>
      <c r="L468" s="143">
        <v>101000</v>
      </c>
      <c r="M468" s="261">
        <f t="shared" si="74"/>
        <v>0</v>
      </c>
      <c r="N468" s="234">
        <v>70700</v>
      </c>
      <c r="O468" s="234">
        <f t="shared" si="75"/>
        <v>0</v>
      </c>
      <c r="P468" s="143">
        <v>101000</v>
      </c>
      <c r="Q468" s="261">
        <f t="shared" si="76"/>
        <v>0</v>
      </c>
      <c r="R468" s="281">
        <v>70700</v>
      </c>
      <c r="S468" s="234">
        <f t="shared" si="77"/>
        <v>0</v>
      </c>
      <c r="T468" s="22">
        <v>101000</v>
      </c>
      <c r="U468" s="261">
        <f t="shared" si="78"/>
        <v>0</v>
      </c>
      <c r="V468" s="281">
        <v>70700</v>
      </c>
      <c r="W468" s="234">
        <f t="shared" si="79"/>
        <v>0</v>
      </c>
      <c r="X468" s="22">
        <v>101000</v>
      </c>
      <c r="Y468" s="261">
        <f t="shared" si="80"/>
        <v>0</v>
      </c>
    </row>
    <row r="469" spans="1:25">
      <c r="A469" s="2"/>
      <c r="B469" s="71">
        <v>465</v>
      </c>
      <c r="C469" s="52" t="s">
        <v>472</v>
      </c>
      <c r="D469" s="234">
        <v>60700</v>
      </c>
      <c r="E469" s="143">
        <v>86714.285714285725</v>
      </c>
      <c r="F469">
        <v>60700</v>
      </c>
      <c r="G469" s="234">
        <f t="shared" si="71"/>
        <v>0</v>
      </c>
      <c r="H469">
        <v>86714.285714285725</v>
      </c>
      <c r="I469" s="261">
        <f t="shared" si="72"/>
        <v>0</v>
      </c>
      <c r="J469">
        <v>60700</v>
      </c>
      <c r="K469" s="234">
        <f t="shared" si="73"/>
        <v>0</v>
      </c>
      <c r="L469" s="143">
        <v>86714.285714285725</v>
      </c>
      <c r="M469" s="261">
        <f t="shared" si="74"/>
        <v>0</v>
      </c>
      <c r="N469" s="234">
        <v>60700</v>
      </c>
      <c r="O469" s="234">
        <f t="shared" si="75"/>
        <v>0</v>
      </c>
      <c r="P469" s="143">
        <v>86714.285714285725</v>
      </c>
      <c r="Q469" s="261">
        <f t="shared" si="76"/>
        <v>0</v>
      </c>
      <c r="R469" s="281">
        <v>60700</v>
      </c>
      <c r="S469" s="234">
        <f t="shared" si="77"/>
        <v>0</v>
      </c>
      <c r="T469" s="22">
        <v>86714.285714285725</v>
      </c>
      <c r="U469" s="261">
        <f t="shared" si="78"/>
        <v>0</v>
      </c>
      <c r="V469" s="281">
        <v>60700</v>
      </c>
      <c r="W469" s="234">
        <f t="shared" si="79"/>
        <v>0</v>
      </c>
      <c r="X469" s="22">
        <v>86714.285714285725</v>
      </c>
      <c r="Y469" s="261">
        <f t="shared" si="80"/>
        <v>0</v>
      </c>
    </row>
    <row r="470" spans="1:25">
      <c r="A470" s="2"/>
      <c r="B470" s="71">
        <v>466</v>
      </c>
      <c r="C470" s="52" t="s">
        <v>473</v>
      </c>
      <c r="D470" s="234">
        <v>52000</v>
      </c>
      <c r="E470" s="143">
        <v>74285.71428571429</v>
      </c>
      <c r="F470">
        <v>52000</v>
      </c>
      <c r="G470" s="234">
        <f t="shared" si="71"/>
        <v>0</v>
      </c>
      <c r="H470">
        <v>74285.71428571429</v>
      </c>
      <c r="I470" s="261">
        <f t="shared" si="72"/>
        <v>0</v>
      </c>
      <c r="J470">
        <v>52000</v>
      </c>
      <c r="K470" s="234">
        <f t="shared" si="73"/>
        <v>0</v>
      </c>
      <c r="L470" s="143">
        <v>74285.71428571429</v>
      </c>
      <c r="M470" s="261">
        <f t="shared" si="74"/>
        <v>0</v>
      </c>
      <c r="N470" s="234">
        <v>52000</v>
      </c>
      <c r="O470" s="234">
        <f t="shared" si="75"/>
        <v>0</v>
      </c>
      <c r="P470" s="143">
        <v>74285.71428571429</v>
      </c>
      <c r="Q470" s="261">
        <f t="shared" si="76"/>
        <v>0</v>
      </c>
      <c r="R470" s="281">
        <v>52000</v>
      </c>
      <c r="S470" s="234">
        <f t="shared" si="77"/>
        <v>0</v>
      </c>
      <c r="T470" s="22">
        <v>74285.71428571429</v>
      </c>
      <c r="U470" s="261">
        <f t="shared" si="78"/>
        <v>0</v>
      </c>
      <c r="V470" s="281">
        <v>52000</v>
      </c>
      <c r="W470" s="234">
        <f t="shared" si="79"/>
        <v>0</v>
      </c>
      <c r="X470" s="22">
        <v>74285.71428571429</v>
      </c>
      <c r="Y470" s="261">
        <f t="shared" si="80"/>
        <v>0</v>
      </c>
    </row>
    <row r="471" spans="1:25">
      <c r="A471" s="2"/>
      <c r="B471" s="2">
        <v>467</v>
      </c>
      <c r="C471" s="52" t="s">
        <v>474</v>
      </c>
      <c r="D471" s="234">
        <v>67400</v>
      </c>
      <c r="E471" s="143">
        <v>96285.71428571429</v>
      </c>
      <c r="F471">
        <v>67400</v>
      </c>
      <c r="G471" s="234">
        <f t="shared" si="71"/>
        <v>0</v>
      </c>
      <c r="H471">
        <v>96285.71428571429</v>
      </c>
      <c r="I471" s="261">
        <f t="shared" si="72"/>
        <v>0</v>
      </c>
      <c r="J471">
        <v>67400</v>
      </c>
      <c r="K471" s="234">
        <f t="shared" si="73"/>
        <v>0</v>
      </c>
      <c r="L471" s="143">
        <v>96285.71428571429</v>
      </c>
      <c r="M471" s="261">
        <f t="shared" si="74"/>
        <v>0</v>
      </c>
      <c r="N471" s="234">
        <v>67400</v>
      </c>
      <c r="O471" s="234">
        <f t="shared" si="75"/>
        <v>0</v>
      </c>
      <c r="P471" s="143">
        <v>96285.71428571429</v>
      </c>
      <c r="Q471" s="261">
        <f t="shared" si="76"/>
        <v>0</v>
      </c>
      <c r="R471" s="281">
        <v>67400</v>
      </c>
      <c r="S471" s="234">
        <f t="shared" si="77"/>
        <v>0</v>
      </c>
      <c r="T471" s="22">
        <v>96285.71428571429</v>
      </c>
      <c r="U471" s="261">
        <f t="shared" si="78"/>
        <v>0</v>
      </c>
      <c r="V471" s="281">
        <v>67400</v>
      </c>
      <c r="W471" s="234">
        <f t="shared" si="79"/>
        <v>0</v>
      </c>
      <c r="X471" s="22">
        <v>96285.71428571429</v>
      </c>
      <c r="Y471" s="261">
        <f t="shared" si="80"/>
        <v>0</v>
      </c>
    </row>
    <row r="472" spans="1:25">
      <c r="A472" s="2"/>
      <c r="B472" s="71">
        <v>468</v>
      </c>
      <c r="C472" s="52" t="s">
        <v>475</v>
      </c>
      <c r="D472" s="234">
        <v>56700</v>
      </c>
      <c r="E472" s="143">
        <v>81000</v>
      </c>
      <c r="F472">
        <v>56700</v>
      </c>
      <c r="G472" s="234">
        <f t="shared" si="71"/>
        <v>0</v>
      </c>
      <c r="H472">
        <v>81000</v>
      </c>
      <c r="I472" s="261">
        <f t="shared" si="72"/>
        <v>0</v>
      </c>
      <c r="J472">
        <v>56700</v>
      </c>
      <c r="K472" s="234">
        <f t="shared" si="73"/>
        <v>0</v>
      </c>
      <c r="L472" s="143">
        <v>81000</v>
      </c>
      <c r="M472" s="261">
        <f t="shared" si="74"/>
        <v>0</v>
      </c>
      <c r="N472" s="234">
        <v>56700</v>
      </c>
      <c r="O472" s="234">
        <f t="shared" si="75"/>
        <v>0</v>
      </c>
      <c r="P472" s="143">
        <v>81000</v>
      </c>
      <c r="Q472" s="261">
        <f t="shared" si="76"/>
        <v>0</v>
      </c>
      <c r="R472" s="281">
        <v>56700</v>
      </c>
      <c r="S472" s="234">
        <f t="shared" si="77"/>
        <v>0</v>
      </c>
      <c r="T472" s="22">
        <v>81000</v>
      </c>
      <c r="U472" s="261">
        <f t="shared" si="78"/>
        <v>0</v>
      </c>
      <c r="V472" s="281">
        <v>56700</v>
      </c>
      <c r="W472" s="234">
        <f t="shared" si="79"/>
        <v>0</v>
      </c>
      <c r="X472" s="22">
        <v>81000</v>
      </c>
      <c r="Y472" s="261">
        <f t="shared" si="80"/>
        <v>0</v>
      </c>
    </row>
    <row r="473" spans="1:25">
      <c r="A473" s="2"/>
      <c r="B473" s="71">
        <v>469</v>
      </c>
      <c r="C473" s="52" t="s">
        <v>476</v>
      </c>
      <c r="D473" s="234">
        <v>62700</v>
      </c>
      <c r="E473" s="143">
        <v>89571.42857142858</v>
      </c>
      <c r="F473">
        <v>62700</v>
      </c>
      <c r="G473" s="234">
        <f t="shared" si="71"/>
        <v>0</v>
      </c>
      <c r="H473">
        <v>89571.42857142858</v>
      </c>
      <c r="I473" s="261">
        <f t="shared" si="72"/>
        <v>0</v>
      </c>
      <c r="J473">
        <v>62700</v>
      </c>
      <c r="K473" s="234">
        <f t="shared" si="73"/>
        <v>0</v>
      </c>
      <c r="L473" s="143">
        <v>89571.42857142858</v>
      </c>
      <c r="M473" s="261">
        <f t="shared" si="74"/>
        <v>0</v>
      </c>
      <c r="N473" s="234">
        <v>62700</v>
      </c>
      <c r="O473" s="234">
        <f t="shared" si="75"/>
        <v>0</v>
      </c>
      <c r="P473" s="143">
        <v>89571.42857142858</v>
      </c>
      <c r="Q473" s="261">
        <f t="shared" si="76"/>
        <v>0</v>
      </c>
      <c r="R473" s="281">
        <v>62700</v>
      </c>
      <c r="S473" s="234">
        <f t="shared" si="77"/>
        <v>0</v>
      </c>
      <c r="T473" s="22">
        <v>89571.42857142858</v>
      </c>
      <c r="U473" s="261">
        <f t="shared" si="78"/>
        <v>0</v>
      </c>
      <c r="V473" s="281">
        <v>62700</v>
      </c>
      <c r="W473" s="234">
        <f t="shared" si="79"/>
        <v>0</v>
      </c>
      <c r="X473" s="22">
        <v>89571.42857142858</v>
      </c>
      <c r="Y473" s="261">
        <f t="shared" si="80"/>
        <v>0</v>
      </c>
    </row>
    <row r="474" spans="1:25">
      <c r="A474" s="71" t="s">
        <v>855</v>
      </c>
      <c r="B474" s="2">
        <v>470</v>
      </c>
      <c r="C474" s="174" t="s">
        <v>736</v>
      </c>
      <c r="D474" s="234">
        <v>73000</v>
      </c>
      <c r="E474" s="143">
        <v>107142.85714285714</v>
      </c>
      <c r="F474">
        <v>79700</v>
      </c>
      <c r="G474" s="234">
        <f t="shared" si="71"/>
        <v>6700</v>
      </c>
      <c r="H474">
        <v>116714.28571428572</v>
      </c>
      <c r="I474" s="261">
        <f t="shared" si="72"/>
        <v>9571.4285714285797</v>
      </c>
      <c r="J474">
        <v>79700</v>
      </c>
      <c r="K474" s="234">
        <f t="shared" si="73"/>
        <v>0</v>
      </c>
      <c r="L474" s="143">
        <v>116714.28571428572</v>
      </c>
      <c r="M474" s="261">
        <f t="shared" si="74"/>
        <v>0</v>
      </c>
      <c r="N474" s="234">
        <v>79700</v>
      </c>
      <c r="O474" s="234">
        <f t="shared" si="75"/>
        <v>0</v>
      </c>
      <c r="P474" s="143">
        <v>115285.71428571429</v>
      </c>
      <c r="Q474" s="261">
        <f t="shared" si="76"/>
        <v>-1428.5714285714348</v>
      </c>
      <c r="R474" s="281">
        <v>79700</v>
      </c>
      <c r="S474" s="234">
        <f t="shared" si="77"/>
        <v>0</v>
      </c>
      <c r="T474" s="22">
        <v>115285.71428571429</v>
      </c>
      <c r="U474" s="261">
        <f t="shared" si="78"/>
        <v>0</v>
      </c>
      <c r="V474" s="281">
        <v>79700</v>
      </c>
      <c r="W474" s="234">
        <f t="shared" si="79"/>
        <v>0</v>
      </c>
      <c r="X474" s="22">
        <v>115285.71428571429</v>
      </c>
      <c r="Y474" s="261">
        <f t="shared" si="80"/>
        <v>0</v>
      </c>
    </row>
    <row r="475" spans="1:25">
      <c r="A475" s="2"/>
      <c r="B475" s="71">
        <v>471</v>
      </c>
      <c r="C475" s="52" t="s">
        <v>478</v>
      </c>
      <c r="D475" s="234">
        <v>55700</v>
      </c>
      <c r="E475" s="143">
        <v>78142.857142857145</v>
      </c>
      <c r="F475">
        <v>55700</v>
      </c>
      <c r="G475" s="234">
        <f t="shared" si="71"/>
        <v>0</v>
      </c>
      <c r="H475">
        <v>78142.857142857145</v>
      </c>
      <c r="I475" s="261">
        <f t="shared" si="72"/>
        <v>0</v>
      </c>
      <c r="J475">
        <v>55700</v>
      </c>
      <c r="K475" s="234">
        <f t="shared" si="73"/>
        <v>0</v>
      </c>
      <c r="L475" s="143">
        <v>78142.857142857145</v>
      </c>
      <c r="M475" s="261">
        <f t="shared" si="74"/>
        <v>0</v>
      </c>
      <c r="N475" s="234">
        <v>55700</v>
      </c>
      <c r="O475" s="234">
        <f t="shared" si="75"/>
        <v>0</v>
      </c>
      <c r="P475" s="143">
        <v>78142.857142857145</v>
      </c>
      <c r="Q475" s="261">
        <f t="shared" si="76"/>
        <v>0</v>
      </c>
      <c r="R475" s="281">
        <v>55700</v>
      </c>
      <c r="S475" s="234">
        <f t="shared" si="77"/>
        <v>0</v>
      </c>
      <c r="T475" s="22">
        <v>78142.857142857145</v>
      </c>
      <c r="U475" s="261">
        <f t="shared" si="78"/>
        <v>0</v>
      </c>
      <c r="V475" s="281">
        <v>55700</v>
      </c>
      <c r="W475" s="234">
        <f t="shared" si="79"/>
        <v>0</v>
      </c>
      <c r="X475" s="22">
        <v>78142.857142857145</v>
      </c>
      <c r="Y475" s="261">
        <f t="shared" si="80"/>
        <v>0</v>
      </c>
    </row>
    <row r="476" spans="1:25">
      <c r="A476" s="71" t="s">
        <v>855</v>
      </c>
      <c r="B476" s="71">
        <v>472</v>
      </c>
      <c r="C476" s="174" t="s">
        <v>737</v>
      </c>
      <c r="D476" s="234">
        <v>50000</v>
      </c>
      <c r="E476" s="143">
        <v>70000</v>
      </c>
      <c r="F476">
        <v>56700</v>
      </c>
      <c r="G476" s="234">
        <f t="shared" si="71"/>
        <v>6700</v>
      </c>
      <c r="H476">
        <v>79571.42857142858</v>
      </c>
      <c r="I476" s="261">
        <f t="shared" si="72"/>
        <v>9571.4285714285797</v>
      </c>
      <c r="J476">
        <v>56700</v>
      </c>
      <c r="K476" s="234">
        <f t="shared" si="73"/>
        <v>0</v>
      </c>
      <c r="L476" s="143">
        <v>79571.42857142858</v>
      </c>
      <c r="M476" s="261">
        <f t="shared" si="74"/>
        <v>0</v>
      </c>
      <c r="N476" s="234">
        <v>56700</v>
      </c>
      <c r="O476" s="234">
        <f t="shared" si="75"/>
        <v>0</v>
      </c>
      <c r="P476" s="143">
        <v>79571.42857142858</v>
      </c>
      <c r="Q476" s="261">
        <f t="shared" si="76"/>
        <v>0</v>
      </c>
      <c r="R476" s="281">
        <v>56700</v>
      </c>
      <c r="S476" s="234">
        <f t="shared" si="77"/>
        <v>0</v>
      </c>
      <c r="T476" s="22">
        <v>79571.42857142858</v>
      </c>
      <c r="U476" s="261">
        <f t="shared" si="78"/>
        <v>0</v>
      </c>
      <c r="V476" s="281">
        <v>56700</v>
      </c>
      <c r="W476" s="234">
        <f t="shared" si="79"/>
        <v>0</v>
      </c>
      <c r="X476" s="22">
        <v>79571.42857142858</v>
      </c>
      <c r="Y476" s="261">
        <f t="shared" si="80"/>
        <v>0</v>
      </c>
    </row>
    <row r="477" spans="1:25">
      <c r="A477" s="2"/>
      <c r="B477" s="2">
        <v>473</v>
      </c>
      <c r="C477" s="174" t="s">
        <v>738</v>
      </c>
      <c r="D477" s="234">
        <v>54200</v>
      </c>
      <c r="E477" s="143">
        <v>80285.71428571429</v>
      </c>
      <c r="F477">
        <v>54200</v>
      </c>
      <c r="G477" s="234">
        <f t="shared" si="71"/>
        <v>0</v>
      </c>
      <c r="H477">
        <v>80285.71428571429</v>
      </c>
      <c r="I477" s="261">
        <f t="shared" si="72"/>
        <v>0</v>
      </c>
      <c r="J477">
        <v>54200</v>
      </c>
      <c r="K477" s="234">
        <f t="shared" si="73"/>
        <v>0</v>
      </c>
      <c r="L477" s="143">
        <v>80285.71428571429</v>
      </c>
      <c r="M477" s="261">
        <f t="shared" si="74"/>
        <v>0</v>
      </c>
      <c r="N477" s="234">
        <v>54200</v>
      </c>
      <c r="O477" s="234">
        <f t="shared" si="75"/>
        <v>0</v>
      </c>
      <c r="P477" s="143">
        <v>80285.71428571429</v>
      </c>
      <c r="Q477" s="261">
        <f t="shared" si="76"/>
        <v>0</v>
      </c>
      <c r="R477" s="281">
        <v>54200</v>
      </c>
      <c r="S477" s="234">
        <f t="shared" si="77"/>
        <v>0</v>
      </c>
      <c r="T477" s="22">
        <v>80285.71428571429</v>
      </c>
      <c r="U477" s="261">
        <f t="shared" si="78"/>
        <v>0</v>
      </c>
      <c r="V477" s="281">
        <v>54200</v>
      </c>
      <c r="W477" s="234">
        <f t="shared" si="79"/>
        <v>0</v>
      </c>
      <c r="X477" s="22">
        <v>80285.71428571429</v>
      </c>
      <c r="Y477" s="261">
        <f t="shared" si="80"/>
        <v>0</v>
      </c>
    </row>
    <row r="478" spans="1:25">
      <c r="A478" s="2"/>
      <c r="B478" s="71">
        <v>474</v>
      </c>
      <c r="C478" s="52" t="s">
        <v>480</v>
      </c>
      <c r="D478" s="234">
        <v>62700</v>
      </c>
      <c r="E478" s="143">
        <v>89571.42857142858</v>
      </c>
      <c r="F478">
        <v>62700</v>
      </c>
      <c r="G478" s="234">
        <f t="shared" si="71"/>
        <v>0</v>
      </c>
      <c r="H478">
        <v>89571.42857142858</v>
      </c>
      <c r="I478" s="261">
        <f t="shared" si="72"/>
        <v>0</v>
      </c>
      <c r="J478">
        <v>62700</v>
      </c>
      <c r="K478" s="234">
        <f t="shared" si="73"/>
        <v>0</v>
      </c>
      <c r="L478" s="143">
        <v>89571.42857142858</v>
      </c>
      <c r="M478" s="261">
        <f t="shared" si="74"/>
        <v>0</v>
      </c>
      <c r="N478" s="234">
        <v>62700</v>
      </c>
      <c r="O478" s="234">
        <f t="shared" si="75"/>
        <v>0</v>
      </c>
      <c r="P478" s="143">
        <v>89571.42857142858</v>
      </c>
      <c r="Q478" s="261">
        <f t="shared" si="76"/>
        <v>0</v>
      </c>
      <c r="R478" s="281">
        <v>62700</v>
      </c>
      <c r="S478" s="234">
        <f t="shared" si="77"/>
        <v>0</v>
      </c>
      <c r="T478" s="22">
        <v>89571.42857142858</v>
      </c>
      <c r="U478" s="261">
        <f t="shared" si="78"/>
        <v>0</v>
      </c>
      <c r="V478" s="281">
        <v>62700</v>
      </c>
      <c r="W478" s="234">
        <f t="shared" si="79"/>
        <v>0</v>
      </c>
      <c r="X478" s="22">
        <v>89571.42857142858</v>
      </c>
      <c r="Y478" s="261">
        <f t="shared" si="80"/>
        <v>0</v>
      </c>
    </row>
    <row r="479" spans="1:25">
      <c r="A479" s="71" t="s">
        <v>855</v>
      </c>
      <c r="B479" s="71">
        <v>475</v>
      </c>
      <c r="C479" s="52" t="s">
        <v>481</v>
      </c>
      <c r="D479" s="234">
        <v>45000</v>
      </c>
      <c r="E479" s="143">
        <v>67142.857142857145</v>
      </c>
      <c r="F479">
        <v>51700</v>
      </c>
      <c r="G479" s="234">
        <f t="shared" si="71"/>
        <v>6700</v>
      </c>
      <c r="H479">
        <v>76714.285714285725</v>
      </c>
      <c r="I479" s="261">
        <f t="shared" si="72"/>
        <v>9571.4285714285797</v>
      </c>
      <c r="J479">
        <v>51700</v>
      </c>
      <c r="K479" s="234">
        <f t="shared" si="73"/>
        <v>0</v>
      </c>
      <c r="L479" s="143">
        <v>76714.285714285725</v>
      </c>
      <c r="M479" s="261">
        <f t="shared" si="74"/>
        <v>0</v>
      </c>
      <c r="N479" s="234">
        <v>51700</v>
      </c>
      <c r="O479" s="234">
        <f t="shared" si="75"/>
        <v>0</v>
      </c>
      <c r="P479" s="143">
        <v>76714.285714285725</v>
      </c>
      <c r="Q479" s="261">
        <f t="shared" si="76"/>
        <v>0</v>
      </c>
      <c r="R479" s="281">
        <v>51700</v>
      </c>
      <c r="S479" s="234">
        <f t="shared" si="77"/>
        <v>0</v>
      </c>
      <c r="T479" s="22">
        <v>76714.285714285725</v>
      </c>
      <c r="U479" s="261">
        <f t="shared" si="78"/>
        <v>0</v>
      </c>
      <c r="V479" s="281">
        <v>51700</v>
      </c>
      <c r="W479" s="234">
        <f t="shared" si="79"/>
        <v>0</v>
      </c>
      <c r="X479" s="22">
        <v>76714.285714285725</v>
      </c>
      <c r="Y479" s="261">
        <f t="shared" si="80"/>
        <v>0</v>
      </c>
    </row>
    <row r="480" spans="1:25">
      <c r="A480" s="2"/>
      <c r="B480" s="2">
        <v>476</v>
      </c>
      <c r="C480" s="52" t="s">
        <v>485</v>
      </c>
      <c r="D480" s="234">
        <v>55700</v>
      </c>
      <c r="E480" s="143">
        <v>78142.857142857145</v>
      </c>
      <c r="F480">
        <v>55700</v>
      </c>
      <c r="G480" s="234">
        <f t="shared" si="71"/>
        <v>0</v>
      </c>
      <c r="H480">
        <v>78142.857142857145</v>
      </c>
      <c r="I480" s="261">
        <f t="shared" si="72"/>
        <v>0</v>
      </c>
      <c r="J480">
        <v>55700</v>
      </c>
      <c r="K480" s="234">
        <f t="shared" si="73"/>
        <v>0</v>
      </c>
      <c r="L480" s="143">
        <v>78142.857142857145</v>
      </c>
      <c r="M480" s="261">
        <f t="shared" si="74"/>
        <v>0</v>
      </c>
      <c r="N480" s="234">
        <v>55700</v>
      </c>
      <c r="O480" s="234">
        <f t="shared" si="75"/>
        <v>0</v>
      </c>
      <c r="P480" s="143">
        <v>78142.857142857145</v>
      </c>
      <c r="Q480" s="261">
        <f t="shared" si="76"/>
        <v>0</v>
      </c>
      <c r="R480" s="281">
        <v>55700</v>
      </c>
      <c r="S480" s="234">
        <f t="shared" si="77"/>
        <v>0</v>
      </c>
      <c r="T480" s="22">
        <v>78142.857142857145</v>
      </c>
      <c r="U480" s="261">
        <f t="shared" si="78"/>
        <v>0</v>
      </c>
      <c r="V480" s="281">
        <v>55700</v>
      </c>
      <c r="W480" s="234">
        <f t="shared" si="79"/>
        <v>0</v>
      </c>
      <c r="X480" s="22">
        <v>78142.857142857145</v>
      </c>
      <c r="Y480" s="261">
        <f t="shared" si="80"/>
        <v>0</v>
      </c>
    </row>
    <row r="481" spans="1:25">
      <c r="A481" s="2"/>
      <c r="B481" s="71">
        <v>477</v>
      </c>
      <c r="C481" s="52" t="s">
        <v>483</v>
      </c>
      <c r="D481" s="234">
        <v>62700</v>
      </c>
      <c r="E481" s="143">
        <v>89571.42857142858</v>
      </c>
      <c r="F481">
        <v>62700</v>
      </c>
      <c r="G481" s="234">
        <f t="shared" si="71"/>
        <v>0</v>
      </c>
      <c r="H481">
        <v>89571.42857142858</v>
      </c>
      <c r="I481" s="261">
        <f t="shared" si="72"/>
        <v>0</v>
      </c>
      <c r="J481">
        <v>62700</v>
      </c>
      <c r="K481" s="234">
        <f t="shared" si="73"/>
        <v>0</v>
      </c>
      <c r="L481" s="143">
        <v>89571.42857142858</v>
      </c>
      <c r="M481" s="261">
        <f t="shared" si="74"/>
        <v>0</v>
      </c>
      <c r="N481" s="234">
        <v>62700</v>
      </c>
      <c r="O481" s="234">
        <f t="shared" si="75"/>
        <v>0</v>
      </c>
      <c r="P481" s="143">
        <v>89571.42857142858</v>
      </c>
      <c r="Q481" s="261">
        <f t="shared" si="76"/>
        <v>0</v>
      </c>
      <c r="R481" s="281">
        <v>62700</v>
      </c>
      <c r="S481" s="234">
        <f t="shared" si="77"/>
        <v>0</v>
      </c>
      <c r="T481" s="22">
        <v>89571.42857142858</v>
      </c>
      <c r="U481" s="261">
        <f t="shared" si="78"/>
        <v>0</v>
      </c>
      <c r="V481" s="281">
        <v>62700</v>
      </c>
      <c r="W481" s="234">
        <f t="shared" si="79"/>
        <v>0</v>
      </c>
      <c r="X481" s="22">
        <v>89571.42857142858</v>
      </c>
      <c r="Y481" s="261">
        <f t="shared" si="80"/>
        <v>0</v>
      </c>
    </row>
    <row r="482" spans="1:25">
      <c r="A482" s="2"/>
      <c r="B482" s="71">
        <v>478</v>
      </c>
      <c r="C482" s="52" t="s">
        <v>484</v>
      </c>
      <c r="D482" s="234">
        <v>55700</v>
      </c>
      <c r="E482" s="143">
        <v>78142.857142857145</v>
      </c>
      <c r="F482">
        <v>55700</v>
      </c>
      <c r="G482" s="234">
        <f t="shared" si="71"/>
        <v>0</v>
      </c>
      <c r="H482">
        <v>78142.857142857145</v>
      </c>
      <c r="I482" s="261">
        <f t="shared" si="72"/>
        <v>0</v>
      </c>
      <c r="J482">
        <v>55700</v>
      </c>
      <c r="K482" s="234">
        <f t="shared" si="73"/>
        <v>0</v>
      </c>
      <c r="L482" s="143">
        <v>78142.857142857145</v>
      </c>
      <c r="M482" s="261">
        <f t="shared" si="74"/>
        <v>0</v>
      </c>
      <c r="N482" s="234">
        <v>55700</v>
      </c>
      <c r="O482" s="234">
        <f t="shared" si="75"/>
        <v>0</v>
      </c>
      <c r="P482" s="143">
        <v>78142.857142857145</v>
      </c>
      <c r="Q482" s="261">
        <f t="shared" si="76"/>
        <v>0</v>
      </c>
      <c r="R482" s="281">
        <v>55700</v>
      </c>
      <c r="S482" s="234">
        <f t="shared" si="77"/>
        <v>0</v>
      </c>
      <c r="T482" s="22">
        <v>78142.857142857145</v>
      </c>
      <c r="U482" s="261">
        <f t="shared" si="78"/>
        <v>0</v>
      </c>
      <c r="V482" s="281">
        <v>55700</v>
      </c>
      <c r="W482" s="234">
        <f t="shared" si="79"/>
        <v>0</v>
      </c>
      <c r="X482" s="22">
        <v>78142.857142857145</v>
      </c>
      <c r="Y482" s="261">
        <f t="shared" si="80"/>
        <v>0</v>
      </c>
    </row>
    <row r="483" spans="1:25">
      <c r="A483" s="71" t="s">
        <v>855</v>
      </c>
      <c r="B483" s="2">
        <v>479</v>
      </c>
      <c r="C483" s="52" t="s">
        <v>482</v>
      </c>
      <c r="D483" s="234">
        <v>48000</v>
      </c>
      <c r="E483" s="143">
        <v>68571.42857142858</v>
      </c>
      <c r="F483">
        <v>54700</v>
      </c>
      <c r="G483" s="234">
        <f t="shared" si="71"/>
        <v>6700</v>
      </c>
      <c r="H483">
        <v>78142.857142857145</v>
      </c>
      <c r="I483" s="261">
        <f t="shared" si="72"/>
        <v>9571.4285714285652</v>
      </c>
      <c r="J483">
        <v>54700</v>
      </c>
      <c r="K483" s="234">
        <f t="shared" si="73"/>
        <v>0</v>
      </c>
      <c r="L483" s="143">
        <v>78142.857142857145</v>
      </c>
      <c r="M483" s="261">
        <f t="shared" si="74"/>
        <v>0</v>
      </c>
      <c r="N483" s="234">
        <v>54700</v>
      </c>
      <c r="O483" s="234">
        <f t="shared" si="75"/>
        <v>0</v>
      </c>
      <c r="P483" s="143">
        <v>78142.857142857145</v>
      </c>
      <c r="Q483" s="261">
        <f t="shared" si="76"/>
        <v>0</v>
      </c>
      <c r="R483" s="281">
        <v>54700</v>
      </c>
      <c r="S483" s="234">
        <f t="shared" si="77"/>
        <v>0</v>
      </c>
      <c r="T483" s="22">
        <v>78142.857142857145</v>
      </c>
      <c r="U483" s="261">
        <f t="shared" si="78"/>
        <v>0</v>
      </c>
      <c r="V483" s="281">
        <v>54700</v>
      </c>
      <c r="W483" s="234">
        <f t="shared" si="79"/>
        <v>0</v>
      </c>
      <c r="X483" s="22">
        <v>78142.857142857145</v>
      </c>
      <c r="Y483" s="261">
        <f t="shared" si="80"/>
        <v>0</v>
      </c>
    </row>
    <row r="484" spans="1:25">
      <c r="A484" s="2"/>
      <c r="B484" s="71">
        <v>480</v>
      </c>
      <c r="C484" s="52" t="s">
        <v>486</v>
      </c>
      <c r="D484" s="234">
        <v>56700</v>
      </c>
      <c r="E484" s="143">
        <v>81000</v>
      </c>
      <c r="F484">
        <v>56700</v>
      </c>
      <c r="G484" s="234">
        <f t="shared" si="71"/>
        <v>0</v>
      </c>
      <c r="H484">
        <v>81000</v>
      </c>
      <c r="I484" s="261">
        <f t="shared" si="72"/>
        <v>0</v>
      </c>
      <c r="J484">
        <v>56700</v>
      </c>
      <c r="K484" s="234">
        <f t="shared" si="73"/>
        <v>0</v>
      </c>
      <c r="L484" s="143">
        <v>81000</v>
      </c>
      <c r="M484" s="261">
        <f t="shared" si="74"/>
        <v>0</v>
      </c>
      <c r="N484" s="234">
        <v>56700</v>
      </c>
      <c r="O484" s="234">
        <f t="shared" si="75"/>
        <v>0</v>
      </c>
      <c r="P484" s="143">
        <v>81000</v>
      </c>
      <c r="Q484" s="261">
        <f t="shared" si="76"/>
        <v>0</v>
      </c>
      <c r="R484" s="281">
        <v>56700</v>
      </c>
      <c r="S484" s="234">
        <f t="shared" si="77"/>
        <v>0</v>
      </c>
      <c r="T484" s="22">
        <v>81000</v>
      </c>
      <c r="U484" s="261">
        <f t="shared" si="78"/>
        <v>0</v>
      </c>
      <c r="V484" s="281">
        <v>56700</v>
      </c>
      <c r="W484" s="234">
        <f t="shared" si="79"/>
        <v>0</v>
      </c>
      <c r="X484" s="22">
        <v>81000</v>
      </c>
      <c r="Y484" s="261">
        <f t="shared" si="80"/>
        <v>0</v>
      </c>
    </row>
    <row r="485" spans="1:25">
      <c r="A485" s="71" t="s">
        <v>856</v>
      </c>
      <c r="B485" s="71">
        <v>481</v>
      </c>
      <c r="C485" s="52" t="s">
        <v>487</v>
      </c>
      <c r="D485" s="234">
        <v>60100</v>
      </c>
      <c r="E485" s="143">
        <v>85857.14285714287</v>
      </c>
      <c r="F485">
        <v>60700</v>
      </c>
      <c r="G485" s="234">
        <f t="shared" si="71"/>
        <v>600</v>
      </c>
      <c r="H485">
        <v>86714.285714285725</v>
      </c>
      <c r="I485" s="261">
        <f t="shared" si="72"/>
        <v>857.14285714285506</v>
      </c>
      <c r="J485">
        <v>60700</v>
      </c>
      <c r="K485" s="234">
        <f t="shared" si="73"/>
        <v>0</v>
      </c>
      <c r="L485" s="143">
        <v>86714.285714285725</v>
      </c>
      <c r="M485" s="261">
        <f t="shared" si="74"/>
        <v>0</v>
      </c>
      <c r="N485" s="234">
        <v>60700</v>
      </c>
      <c r="O485" s="234">
        <f t="shared" si="75"/>
        <v>0</v>
      </c>
      <c r="P485" s="143">
        <v>86714.285714285725</v>
      </c>
      <c r="Q485" s="261">
        <f t="shared" si="76"/>
        <v>0</v>
      </c>
      <c r="R485" s="281">
        <v>60700</v>
      </c>
      <c r="S485" s="234">
        <f t="shared" si="77"/>
        <v>0</v>
      </c>
      <c r="T485" s="22">
        <v>86714.285714285725</v>
      </c>
      <c r="U485" s="261">
        <f t="shared" si="78"/>
        <v>0</v>
      </c>
      <c r="V485" s="281">
        <v>60700</v>
      </c>
      <c r="W485" s="234">
        <f t="shared" si="79"/>
        <v>0</v>
      </c>
      <c r="X485" s="22">
        <v>86714.285714285725</v>
      </c>
      <c r="Y485" s="261">
        <f t="shared" si="80"/>
        <v>0</v>
      </c>
    </row>
    <row r="486" spans="1:25">
      <c r="A486" s="2"/>
      <c r="B486" s="2">
        <v>482</v>
      </c>
      <c r="C486" s="173" t="s">
        <v>739</v>
      </c>
      <c r="D486" s="234">
        <v>78950</v>
      </c>
      <c r="E486" s="143">
        <v>117071.42857142858</v>
      </c>
      <c r="F486">
        <v>78950</v>
      </c>
      <c r="G486" s="234">
        <f t="shared" si="71"/>
        <v>0</v>
      </c>
      <c r="H486">
        <v>114214.28571428572</v>
      </c>
      <c r="I486" s="261">
        <f t="shared" si="72"/>
        <v>-2857.1428571428551</v>
      </c>
      <c r="J486">
        <v>78950</v>
      </c>
      <c r="K486" s="234">
        <f t="shared" si="73"/>
        <v>0</v>
      </c>
      <c r="L486" s="143">
        <v>114214.28571428572</v>
      </c>
      <c r="M486" s="261">
        <f t="shared" si="74"/>
        <v>0</v>
      </c>
      <c r="N486" s="234">
        <v>78950</v>
      </c>
      <c r="O486" s="234">
        <f t="shared" si="75"/>
        <v>0</v>
      </c>
      <c r="P486" s="143">
        <v>114214.28571428572</v>
      </c>
      <c r="Q486" s="261">
        <f t="shared" si="76"/>
        <v>0</v>
      </c>
      <c r="R486" s="281">
        <v>78950</v>
      </c>
      <c r="S486" s="234">
        <f t="shared" si="77"/>
        <v>0</v>
      </c>
      <c r="T486" s="22">
        <v>114214.28571428572</v>
      </c>
      <c r="U486" s="261">
        <f t="shared" si="78"/>
        <v>0</v>
      </c>
      <c r="V486" s="281">
        <v>78950</v>
      </c>
      <c r="W486" s="234">
        <f t="shared" si="79"/>
        <v>0</v>
      </c>
      <c r="X486" s="22">
        <v>114214.28571428572</v>
      </c>
      <c r="Y486" s="261">
        <f t="shared" si="80"/>
        <v>0</v>
      </c>
    </row>
    <row r="487" spans="1:25">
      <c r="A487" s="2"/>
      <c r="B487" s="71">
        <v>483</v>
      </c>
      <c r="C487" s="173" t="s">
        <v>740</v>
      </c>
      <c r="D487" s="234">
        <v>66150</v>
      </c>
      <c r="E487" s="143">
        <v>91642.857142857145</v>
      </c>
      <c r="F487">
        <v>66150</v>
      </c>
      <c r="G487" s="234">
        <f t="shared" si="71"/>
        <v>0</v>
      </c>
      <c r="H487">
        <v>91642.857142857145</v>
      </c>
      <c r="I487" s="261">
        <f t="shared" si="72"/>
        <v>0</v>
      </c>
      <c r="J487">
        <v>66150</v>
      </c>
      <c r="K487" s="234">
        <f t="shared" si="73"/>
        <v>0</v>
      </c>
      <c r="L487" s="143">
        <v>91642.857142857145</v>
      </c>
      <c r="M487" s="261">
        <f t="shared" si="74"/>
        <v>0</v>
      </c>
      <c r="N487" s="234">
        <v>66150</v>
      </c>
      <c r="O487" s="234">
        <f t="shared" si="75"/>
        <v>0</v>
      </c>
      <c r="P487" s="143">
        <v>91642.857142857145</v>
      </c>
      <c r="Q487" s="261">
        <f t="shared" si="76"/>
        <v>0</v>
      </c>
      <c r="R487" s="281">
        <v>66150</v>
      </c>
      <c r="S487" s="234">
        <f t="shared" si="77"/>
        <v>0</v>
      </c>
      <c r="T487" s="22">
        <v>91642.857142857145</v>
      </c>
      <c r="U487" s="261">
        <f t="shared" si="78"/>
        <v>0</v>
      </c>
      <c r="V487" s="281">
        <v>66150</v>
      </c>
      <c r="W487" s="234">
        <f t="shared" si="79"/>
        <v>0</v>
      </c>
      <c r="X487" s="22">
        <v>91642.857142857145</v>
      </c>
      <c r="Y487" s="261">
        <f t="shared" si="80"/>
        <v>0</v>
      </c>
    </row>
    <row r="488" spans="1:25">
      <c r="A488" s="2"/>
      <c r="B488" s="71">
        <v>484</v>
      </c>
      <c r="C488" s="173" t="s">
        <v>741</v>
      </c>
      <c r="D488" s="234">
        <v>66150</v>
      </c>
      <c r="E488" s="143">
        <v>91642.857142857145</v>
      </c>
      <c r="F488">
        <v>66150</v>
      </c>
      <c r="G488" s="234">
        <f t="shared" si="71"/>
        <v>0</v>
      </c>
      <c r="H488">
        <v>91642.857142857145</v>
      </c>
      <c r="I488" s="261">
        <f t="shared" si="72"/>
        <v>0</v>
      </c>
      <c r="J488">
        <v>66150</v>
      </c>
      <c r="K488" s="234">
        <f t="shared" si="73"/>
        <v>0</v>
      </c>
      <c r="L488" s="143">
        <v>91642.857142857145</v>
      </c>
      <c r="M488" s="261">
        <f t="shared" si="74"/>
        <v>0</v>
      </c>
      <c r="N488" s="234">
        <v>66150</v>
      </c>
      <c r="O488" s="234">
        <f t="shared" si="75"/>
        <v>0</v>
      </c>
      <c r="P488" s="143">
        <v>91642.857142857145</v>
      </c>
      <c r="Q488" s="261">
        <f t="shared" si="76"/>
        <v>0</v>
      </c>
      <c r="R488" s="281">
        <v>66150</v>
      </c>
      <c r="S488" s="234">
        <f t="shared" si="77"/>
        <v>0</v>
      </c>
      <c r="T488" s="22">
        <v>91642.857142857145</v>
      </c>
      <c r="U488" s="261">
        <f t="shared" si="78"/>
        <v>0</v>
      </c>
      <c r="V488" s="281">
        <v>66150</v>
      </c>
      <c r="W488" s="234">
        <f t="shared" si="79"/>
        <v>0</v>
      </c>
      <c r="X488" s="22">
        <v>91642.857142857145</v>
      </c>
      <c r="Y488" s="261">
        <f t="shared" si="80"/>
        <v>0</v>
      </c>
    </row>
    <row r="489" spans="1:25">
      <c r="A489" s="71" t="s">
        <v>855</v>
      </c>
      <c r="B489" s="2">
        <v>485</v>
      </c>
      <c r="C489" s="173" t="s">
        <v>742</v>
      </c>
      <c r="D489" s="234">
        <v>68500</v>
      </c>
      <c r="E489" s="143">
        <v>96428.571428571435</v>
      </c>
      <c r="F489">
        <v>66500</v>
      </c>
      <c r="G489" s="234">
        <f t="shared" si="71"/>
        <v>-2000</v>
      </c>
      <c r="H489">
        <v>93571.42857142858</v>
      </c>
      <c r="I489" s="261">
        <f t="shared" si="72"/>
        <v>-2857.1428571428551</v>
      </c>
      <c r="J489">
        <v>66500</v>
      </c>
      <c r="K489" s="234">
        <f t="shared" si="73"/>
        <v>0</v>
      </c>
      <c r="L489" s="143">
        <v>97857.14285714287</v>
      </c>
      <c r="M489" s="261">
        <f t="shared" si="74"/>
        <v>4285.7142857142899</v>
      </c>
      <c r="N489" s="234">
        <v>66500</v>
      </c>
      <c r="O489" s="234">
        <f t="shared" si="75"/>
        <v>0</v>
      </c>
      <c r="P489" s="143">
        <v>97857.14285714287</v>
      </c>
      <c r="Q489" s="261">
        <f t="shared" si="76"/>
        <v>0</v>
      </c>
      <c r="R489" s="281">
        <v>66500</v>
      </c>
      <c r="S489" s="234">
        <f t="shared" si="77"/>
        <v>0</v>
      </c>
      <c r="T489" s="22">
        <v>97857.14285714287</v>
      </c>
      <c r="U489" s="261">
        <f t="shared" si="78"/>
        <v>0</v>
      </c>
      <c r="V489" s="281">
        <v>66500</v>
      </c>
      <c r="W489" s="234">
        <f t="shared" si="79"/>
        <v>0</v>
      </c>
      <c r="X489" s="22">
        <v>97857.14285714287</v>
      </c>
      <c r="Y489" s="261">
        <f t="shared" si="80"/>
        <v>0</v>
      </c>
    </row>
    <row r="490" spans="1:25">
      <c r="A490" s="2"/>
      <c r="B490" s="71">
        <v>486</v>
      </c>
      <c r="C490" s="48" t="s">
        <v>490</v>
      </c>
      <c r="D490" s="234">
        <v>75000</v>
      </c>
      <c r="E490" s="143">
        <v>110000</v>
      </c>
      <c r="F490">
        <v>75000</v>
      </c>
      <c r="G490" s="234">
        <f t="shared" si="71"/>
        <v>0</v>
      </c>
      <c r="H490">
        <v>110000</v>
      </c>
      <c r="I490" s="261">
        <f t="shared" si="72"/>
        <v>0</v>
      </c>
      <c r="J490">
        <v>75000</v>
      </c>
      <c r="K490" s="234">
        <f t="shared" si="73"/>
        <v>0</v>
      </c>
      <c r="L490" s="143">
        <v>110000</v>
      </c>
      <c r="M490" s="261">
        <f t="shared" si="74"/>
        <v>0</v>
      </c>
      <c r="N490" s="234">
        <v>75000</v>
      </c>
      <c r="O490" s="234">
        <f t="shared" si="75"/>
        <v>0</v>
      </c>
      <c r="P490" s="143">
        <v>110000</v>
      </c>
      <c r="Q490" s="261">
        <f t="shared" si="76"/>
        <v>0</v>
      </c>
      <c r="R490" s="281">
        <v>75000</v>
      </c>
      <c r="S490" s="234">
        <f t="shared" si="77"/>
        <v>0</v>
      </c>
      <c r="T490" s="22">
        <v>110000</v>
      </c>
      <c r="U490" s="261">
        <f t="shared" si="78"/>
        <v>0</v>
      </c>
      <c r="V490" s="281">
        <v>75000</v>
      </c>
      <c r="W490" s="234">
        <f t="shared" si="79"/>
        <v>0</v>
      </c>
      <c r="X490" s="22">
        <v>110000</v>
      </c>
      <c r="Y490" s="261">
        <f t="shared" si="80"/>
        <v>0</v>
      </c>
    </row>
    <row r="491" spans="1:25">
      <c r="A491" s="71" t="s">
        <v>855</v>
      </c>
      <c r="B491" s="71">
        <v>487</v>
      </c>
      <c r="C491" s="48" t="s">
        <v>492</v>
      </c>
      <c r="D491" s="234">
        <v>57950</v>
      </c>
      <c r="E491" s="143">
        <v>81357.142857142855</v>
      </c>
      <c r="F491">
        <v>54000</v>
      </c>
      <c r="G491" s="234">
        <f t="shared" si="71"/>
        <v>-3950</v>
      </c>
      <c r="H491">
        <v>75714.285714285725</v>
      </c>
      <c r="I491" s="261">
        <f t="shared" si="72"/>
        <v>-5642.8571428571304</v>
      </c>
      <c r="J491">
        <v>54000</v>
      </c>
      <c r="K491" s="234">
        <f t="shared" si="73"/>
        <v>0</v>
      </c>
      <c r="L491" s="143">
        <v>75714.285714285725</v>
      </c>
      <c r="M491" s="261">
        <f t="shared" si="74"/>
        <v>0</v>
      </c>
      <c r="N491" s="234">
        <v>54000</v>
      </c>
      <c r="O491" s="234">
        <f t="shared" si="75"/>
        <v>0</v>
      </c>
      <c r="P491" s="143">
        <v>75714.285714285725</v>
      </c>
      <c r="Q491" s="261">
        <f t="shared" si="76"/>
        <v>0</v>
      </c>
      <c r="R491" s="281">
        <v>54000</v>
      </c>
      <c r="S491" s="234">
        <f t="shared" si="77"/>
        <v>0</v>
      </c>
      <c r="T491" s="22">
        <v>75714.285714285725</v>
      </c>
      <c r="U491" s="261">
        <f t="shared" si="78"/>
        <v>0</v>
      </c>
      <c r="V491" s="281">
        <v>54000</v>
      </c>
      <c r="W491" s="234">
        <f t="shared" si="79"/>
        <v>0</v>
      </c>
      <c r="X491" s="22">
        <v>75714.285714285725</v>
      </c>
      <c r="Y491" s="261">
        <f t="shared" si="80"/>
        <v>0</v>
      </c>
    </row>
    <row r="492" spans="1:25">
      <c r="A492" s="2"/>
      <c r="B492" s="2">
        <v>488</v>
      </c>
      <c r="C492" s="48" t="s">
        <v>493</v>
      </c>
      <c r="D492" s="234">
        <v>71000</v>
      </c>
      <c r="E492" s="143">
        <v>100000</v>
      </c>
      <c r="F492">
        <v>71000</v>
      </c>
      <c r="G492" s="234">
        <f t="shared" si="71"/>
        <v>0</v>
      </c>
      <c r="H492">
        <v>100000</v>
      </c>
      <c r="I492" s="261">
        <f t="shared" si="72"/>
        <v>0</v>
      </c>
      <c r="J492">
        <v>71000</v>
      </c>
      <c r="K492" s="234">
        <f t="shared" si="73"/>
        <v>0</v>
      </c>
      <c r="L492" s="143">
        <v>100000</v>
      </c>
      <c r="M492" s="261">
        <f t="shared" si="74"/>
        <v>0</v>
      </c>
      <c r="N492" s="234">
        <v>71000</v>
      </c>
      <c r="O492" s="234">
        <f t="shared" si="75"/>
        <v>0</v>
      </c>
      <c r="P492" s="143">
        <v>100000</v>
      </c>
      <c r="Q492" s="261">
        <f t="shared" si="76"/>
        <v>0</v>
      </c>
      <c r="R492" s="281">
        <v>71000</v>
      </c>
      <c r="S492" s="234">
        <f t="shared" si="77"/>
        <v>0</v>
      </c>
      <c r="T492" s="22">
        <v>100000</v>
      </c>
      <c r="U492" s="261">
        <f t="shared" si="78"/>
        <v>0</v>
      </c>
      <c r="V492" s="281">
        <v>71000</v>
      </c>
      <c r="W492" s="234">
        <f t="shared" si="79"/>
        <v>0</v>
      </c>
      <c r="X492" s="22">
        <v>100000</v>
      </c>
      <c r="Y492" s="261">
        <f t="shared" si="80"/>
        <v>0</v>
      </c>
    </row>
    <row r="493" spans="1:25">
      <c r="A493" s="2"/>
      <c r="B493" s="71">
        <v>489</v>
      </c>
      <c r="C493" s="48" t="s">
        <v>494</v>
      </c>
      <c r="D493" s="234">
        <v>68950</v>
      </c>
      <c r="E493" s="143">
        <v>102785.71428571429</v>
      </c>
      <c r="F493">
        <v>68950</v>
      </c>
      <c r="G493" s="234">
        <f t="shared" si="71"/>
        <v>0</v>
      </c>
      <c r="H493">
        <v>99928.571428571435</v>
      </c>
      <c r="I493" s="261">
        <f t="shared" si="72"/>
        <v>-2857.1428571428551</v>
      </c>
      <c r="J493">
        <v>68950</v>
      </c>
      <c r="K493" s="234">
        <f t="shared" si="73"/>
        <v>0</v>
      </c>
      <c r="L493" s="143">
        <v>99928.571428571435</v>
      </c>
      <c r="M493" s="261">
        <f t="shared" si="74"/>
        <v>0</v>
      </c>
      <c r="N493" s="234">
        <v>68950</v>
      </c>
      <c r="O493" s="234">
        <f t="shared" si="75"/>
        <v>0</v>
      </c>
      <c r="P493" s="143">
        <v>99928.571428571435</v>
      </c>
      <c r="Q493" s="261">
        <f t="shared" si="76"/>
        <v>0</v>
      </c>
      <c r="R493" s="281">
        <v>68950</v>
      </c>
      <c r="S493" s="234">
        <f t="shared" si="77"/>
        <v>0</v>
      </c>
      <c r="T493" s="22">
        <v>99928.571428571435</v>
      </c>
      <c r="U493" s="261">
        <f t="shared" si="78"/>
        <v>0</v>
      </c>
      <c r="V493" s="281">
        <v>68950</v>
      </c>
      <c r="W493" s="234">
        <f t="shared" si="79"/>
        <v>0</v>
      </c>
      <c r="X493" s="22">
        <v>99928.571428571435</v>
      </c>
      <c r="Y493" s="261">
        <f t="shared" si="80"/>
        <v>0</v>
      </c>
    </row>
    <row r="494" spans="1:25">
      <c r="A494" s="2"/>
      <c r="B494" s="71">
        <v>490</v>
      </c>
      <c r="C494" s="48" t="s">
        <v>495</v>
      </c>
      <c r="D494" s="234">
        <v>68950</v>
      </c>
      <c r="E494" s="143">
        <v>102785.71428571429</v>
      </c>
      <c r="F494">
        <v>68950</v>
      </c>
      <c r="G494" s="234">
        <f t="shared" si="71"/>
        <v>0</v>
      </c>
      <c r="H494">
        <v>99928.571428571435</v>
      </c>
      <c r="I494" s="261">
        <f t="shared" si="72"/>
        <v>-2857.1428571428551</v>
      </c>
      <c r="J494">
        <v>68950</v>
      </c>
      <c r="K494" s="234">
        <f t="shared" si="73"/>
        <v>0</v>
      </c>
      <c r="L494" s="143">
        <v>99928.571428571435</v>
      </c>
      <c r="M494" s="261">
        <f t="shared" si="74"/>
        <v>0</v>
      </c>
      <c r="N494" s="234">
        <v>68950</v>
      </c>
      <c r="O494" s="234">
        <f t="shared" si="75"/>
        <v>0</v>
      </c>
      <c r="P494" s="143">
        <v>99928.571428571435</v>
      </c>
      <c r="Q494" s="261">
        <f t="shared" si="76"/>
        <v>0</v>
      </c>
      <c r="R494" s="281">
        <v>68950</v>
      </c>
      <c r="S494" s="234">
        <f t="shared" si="77"/>
        <v>0</v>
      </c>
      <c r="T494" s="22">
        <v>99928.571428571435</v>
      </c>
      <c r="U494" s="261">
        <f t="shared" si="78"/>
        <v>0</v>
      </c>
      <c r="V494" s="281">
        <v>68950</v>
      </c>
      <c r="W494" s="234">
        <f t="shared" si="79"/>
        <v>0</v>
      </c>
      <c r="X494" s="22">
        <v>99928.571428571435</v>
      </c>
      <c r="Y494" s="261">
        <f t="shared" si="80"/>
        <v>0</v>
      </c>
    </row>
    <row r="495" spans="1:25">
      <c r="A495" s="2"/>
      <c r="B495" s="2">
        <v>491</v>
      </c>
      <c r="C495" s="48" t="s">
        <v>496</v>
      </c>
      <c r="D495" s="234">
        <v>75000</v>
      </c>
      <c r="E495" s="143">
        <v>110000</v>
      </c>
      <c r="F495">
        <v>75000</v>
      </c>
      <c r="G495" s="234">
        <f t="shared" si="71"/>
        <v>0</v>
      </c>
      <c r="H495">
        <v>110000</v>
      </c>
      <c r="I495" s="261">
        <f t="shared" si="72"/>
        <v>0</v>
      </c>
      <c r="J495">
        <v>75000</v>
      </c>
      <c r="K495" s="234">
        <f t="shared" si="73"/>
        <v>0</v>
      </c>
      <c r="L495" s="143">
        <v>110000</v>
      </c>
      <c r="M495" s="261">
        <f t="shared" si="74"/>
        <v>0</v>
      </c>
      <c r="N495" s="234">
        <v>75000</v>
      </c>
      <c r="O495" s="234">
        <f t="shared" si="75"/>
        <v>0</v>
      </c>
      <c r="P495" s="143">
        <v>110000</v>
      </c>
      <c r="Q495" s="261">
        <f t="shared" si="76"/>
        <v>0</v>
      </c>
      <c r="R495" s="281">
        <v>75000</v>
      </c>
      <c r="S495" s="234">
        <f t="shared" si="77"/>
        <v>0</v>
      </c>
      <c r="T495" s="22">
        <v>110000</v>
      </c>
      <c r="U495" s="261">
        <f t="shared" si="78"/>
        <v>0</v>
      </c>
      <c r="V495" s="281">
        <v>75000</v>
      </c>
      <c r="W495" s="234">
        <f t="shared" si="79"/>
        <v>0</v>
      </c>
      <c r="X495" s="22">
        <v>110000</v>
      </c>
      <c r="Y495" s="261">
        <f t="shared" si="80"/>
        <v>0</v>
      </c>
    </row>
    <row r="496" spans="1:25">
      <c r="A496" s="2"/>
      <c r="B496" s="71">
        <v>492</v>
      </c>
      <c r="C496" s="48" t="s">
        <v>497</v>
      </c>
      <c r="D496" s="234">
        <v>75000</v>
      </c>
      <c r="E496" s="143">
        <v>110000</v>
      </c>
      <c r="F496">
        <v>75000</v>
      </c>
      <c r="G496" s="234">
        <f t="shared" si="71"/>
        <v>0</v>
      </c>
      <c r="H496">
        <v>110000</v>
      </c>
      <c r="I496" s="261">
        <f t="shared" si="72"/>
        <v>0</v>
      </c>
      <c r="J496">
        <v>75000</v>
      </c>
      <c r="K496" s="234">
        <f t="shared" si="73"/>
        <v>0</v>
      </c>
      <c r="L496" s="143">
        <v>110000</v>
      </c>
      <c r="M496" s="261">
        <f t="shared" si="74"/>
        <v>0</v>
      </c>
      <c r="N496" s="234">
        <v>75000</v>
      </c>
      <c r="O496" s="234">
        <f t="shared" si="75"/>
        <v>0</v>
      </c>
      <c r="P496" s="143">
        <v>110000</v>
      </c>
      <c r="Q496" s="261">
        <f t="shared" si="76"/>
        <v>0</v>
      </c>
      <c r="R496" s="281">
        <v>75000</v>
      </c>
      <c r="S496" s="234">
        <f t="shared" si="77"/>
        <v>0</v>
      </c>
      <c r="T496" s="22">
        <v>110000</v>
      </c>
      <c r="U496" s="261">
        <f t="shared" si="78"/>
        <v>0</v>
      </c>
      <c r="V496" s="281">
        <v>75000</v>
      </c>
      <c r="W496" s="234">
        <f t="shared" si="79"/>
        <v>0</v>
      </c>
      <c r="X496" s="22">
        <v>110000</v>
      </c>
      <c r="Y496" s="261">
        <f t="shared" si="80"/>
        <v>0</v>
      </c>
    </row>
    <row r="497" spans="1:25">
      <c r="A497" s="2"/>
      <c r="B497" s="71">
        <v>493</v>
      </c>
      <c r="C497" s="48" t="s">
        <v>498</v>
      </c>
      <c r="D497" s="234">
        <v>74150</v>
      </c>
      <c r="E497" s="143">
        <v>103071.42857142858</v>
      </c>
      <c r="F497">
        <v>74150</v>
      </c>
      <c r="G497" s="234">
        <f t="shared" si="71"/>
        <v>0</v>
      </c>
      <c r="H497">
        <v>103071.42857142858</v>
      </c>
      <c r="I497" s="261">
        <f t="shared" si="72"/>
        <v>0</v>
      </c>
      <c r="J497">
        <v>74150</v>
      </c>
      <c r="K497" s="234">
        <f t="shared" si="73"/>
        <v>0</v>
      </c>
      <c r="L497" s="143">
        <v>103071.42857142858</v>
      </c>
      <c r="M497" s="261">
        <f t="shared" si="74"/>
        <v>0</v>
      </c>
      <c r="N497" s="234">
        <v>74150</v>
      </c>
      <c r="O497" s="234">
        <f t="shared" si="75"/>
        <v>0</v>
      </c>
      <c r="P497" s="143">
        <v>105928.57142857143</v>
      </c>
      <c r="Q497" s="261">
        <f t="shared" si="76"/>
        <v>2857.1428571428551</v>
      </c>
      <c r="R497" s="281">
        <v>74150</v>
      </c>
      <c r="S497" s="234">
        <f t="shared" si="77"/>
        <v>0</v>
      </c>
      <c r="T497" s="22">
        <v>105928.57142857143</v>
      </c>
      <c r="U497" s="261">
        <f t="shared" si="78"/>
        <v>0</v>
      </c>
      <c r="V497" s="281">
        <v>74150</v>
      </c>
      <c r="W497" s="234">
        <f t="shared" si="79"/>
        <v>0</v>
      </c>
      <c r="X497" s="22">
        <v>103071.42857142858</v>
      </c>
      <c r="Y497" s="261">
        <f t="shared" si="80"/>
        <v>-2857.1428571428551</v>
      </c>
    </row>
    <row r="498" spans="1:25">
      <c r="A498" s="2"/>
      <c r="B498" s="2">
        <v>494</v>
      </c>
      <c r="C498" s="173" t="s">
        <v>743</v>
      </c>
      <c r="D498" s="234">
        <v>78950</v>
      </c>
      <c r="E498" s="143">
        <v>112785.71428571429</v>
      </c>
      <c r="F498">
        <v>78950</v>
      </c>
      <c r="G498" s="234">
        <f t="shared" si="71"/>
        <v>0</v>
      </c>
      <c r="H498">
        <v>114214.28571428572</v>
      </c>
      <c r="I498" s="261">
        <f t="shared" si="72"/>
        <v>1428.5714285714348</v>
      </c>
      <c r="J498">
        <v>78950</v>
      </c>
      <c r="K498" s="234">
        <f t="shared" si="73"/>
        <v>0</v>
      </c>
      <c r="L498" s="143">
        <v>114214.28571428572</v>
      </c>
      <c r="M498" s="261">
        <f t="shared" si="74"/>
        <v>0</v>
      </c>
      <c r="N498" s="234">
        <v>78950</v>
      </c>
      <c r="O498" s="234">
        <f t="shared" si="75"/>
        <v>0</v>
      </c>
      <c r="P498" s="143">
        <v>114214.28571428572</v>
      </c>
      <c r="Q498" s="261">
        <f t="shared" si="76"/>
        <v>0</v>
      </c>
      <c r="R498" s="281">
        <v>78950</v>
      </c>
      <c r="S498" s="234">
        <f t="shared" si="77"/>
        <v>0</v>
      </c>
      <c r="T498" s="22">
        <v>114214.28571428572</v>
      </c>
      <c r="U498" s="261">
        <f t="shared" si="78"/>
        <v>0</v>
      </c>
      <c r="V498" s="281">
        <v>78950</v>
      </c>
      <c r="W498" s="234">
        <f t="shared" si="79"/>
        <v>0</v>
      </c>
      <c r="X498" s="22">
        <v>114214.28571428572</v>
      </c>
      <c r="Y498" s="261">
        <f t="shared" si="80"/>
        <v>0</v>
      </c>
    </row>
    <row r="499" spans="1:25">
      <c r="A499" s="2"/>
      <c r="B499" s="71">
        <v>495</v>
      </c>
      <c r="C499" s="173" t="s">
        <v>744</v>
      </c>
      <c r="D499" s="234">
        <v>71000</v>
      </c>
      <c r="E499" s="143">
        <v>101428.57142857143</v>
      </c>
      <c r="F499">
        <v>71000</v>
      </c>
      <c r="G499" s="234">
        <f t="shared" si="71"/>
        <v>0</v>
      </c>
      <c r="H499">
        <v>101428.57142857143</v>
      </c>
      <c r="I499" s="261">
        <f t="shared" si="72"/>
        <v>0</v>
      </c>
      <c r="J499">
        <v>71000</v>
      </c>
      <c r="K499" s="234">
        <f t="shared" si="73"/>
        <v>0</v>
      </c>
      <c r="L499" s="143">
        <v>101428.57142857143</v>
      </c>
      <c r="M499" s="261">
        <f t="shared" si="74"/>
        <v>0</v>
      </c>
      <c r="N499" s="234">
        <v>71000</v>
      </c>
      <c r="O499" s="234">
        <f t="shared" si="75"/>
        <v>0</v>
      </c>
      <c r="P499" s="143">
        <v>101428.57142857143</v>
      </c>
      <c r="Q499" s="261">
        <f t="shared" si="76"/>
        <v>0</v>
      </c>
      <c r="R499" s="281">
        <v>71000</v>
      </c>
      <c r="S499" s="234">
        <f t="shared" si="77"/>
        <v>0</v>
      </c>
      <c r="T499" s="22">
        <v>101428.57142857143</v>
      </c>
      <c r="U499" s="261">
        <f t="shared" si="78"/>
        <v>0</v>
      </c>
      <c r="V499" s="281">
        <v>71000</v>
      </c>
      <c r="W499" s="234">
        <f t="shared" si="79"/>
        <v>0</v>
      </c>
      <c r="X499" s="22">
        <v>101428.57142857143</v>
      </c>
      <c r="Y499" s="261">
        <f t="shared" si="80"/>
        <v>0</v>
      </c>
    </row>
    <row r="500" spans="1:25">
      <c r="A500" s="71" t="s">
        <v>855</v>
      </c>
      <c r="B500" s="71">
        <v>496</v>
      </c>
      <c r="C500" s="173" t="s">
        <v>745</v>
      </c>
      <c r="D500" s="234">
        <v>61650</v>
      </c>
      <c r="E500" s="143">
        <v>88071.42857142858</v>
      </c>
      <c r="F500">
        <v>59650</v>
      </c>
      <c r="G500" s="234">
        <f t="shared" si="71"/>
        <v>-2000</v>
      </c>
      <c r="H500">
        <v>86642.857142857145</v>
      </c>
      <c r="I500" s="261">
        <f t="shared" si="72"/>
        <v>-1428.5714285714348</v>
      </c>
      <c r="J500">
        <v>59650</v>
      </c>
      <c r="K500" s="234">
        <f t="shared" si="73"/>
        <v>0</v>
      </c>
      <c r="L500" s="143">
        <v>88071.42857142858</v>
      </c>
      <c r="M500" s="261">
        <f t="shared" si="74"/>
        <v>1428.5714285714348</v>
      </c>
      <c r="N500" s="234">
        <v>59650</v>
      </c>
      <c r="O500" s="234">
        <f t="shared" si="75"/>
        <v>0</v>
      </c>
      <c r="P500" s="143">
        <v>86642.857142857145</v>
      </c>
      <c r="Q500" s="261">
        <f t="shared" si="76"/>
        <v>-1428.5714285714348</v>
      </c>
      <c r="R500" s="281">
        <v>59650</v>
      </c>
      <c r="S500" s="234">
        <f t="shared" si="77"/>
        <v>0</v>
      </c>
      <c r="T500" s="22">
        <v>86642.857142857145</v>
      </c>
      <c r="U500" s="261">
        <f t="shared" si="78"/>
        <v>0</v>
      </c>
      <c r="V500" s="281">
        <v>59650</v>
      </c>
      <c r="W500" s="234">
        <f t="shared" si="79"/>
        <v>0</v>
      </c>
      <c r="X500" s="22">
        <v>86642.857142857145</v>
      </c>
      <c r="Y500" s="261">
        <f t="shared" si="80"/>
        <v>0</v>
      </c>
    </row>
    <row r="501" spans="1:25">
      <c r="A501" s="2"/>
      <c r="B501" s="2">
        <v>497</v>
      </c>
      <c r="C501" s="48" t="s">
        <v>501</v>
      </c>
      <c r="D501" s="234">
        <v>70000</v>
      </c>
      <c r="E501" s="143">
        <v>100000</v>
      </c>
      <c r="F501">
        <v>70000</v>
      </c>
      <c r="G501" s="234">
        <f t="shared" si="71"/>
        <v>0</v>
      </c>
      <c r="H501">
        <v>100000</v>
      </c>
      <c r="I501" s="261">
        <f t="shared" si="72"/>
        <v>0</v>
      </c>
      <c r="J501">
        <v>70000</v>
      </c>
      <c r="K501" s="234">
        <f t="shared" si="73"/>
        <v>0</v>
      </c>
      <c r="L501" s="143">
        <v>100000</v>
      </c>
      <c r="M501" s="261">
        <f t="shared" si="74"/>
        <v>0</v>
      </c>
      <c r="N501" s="234">
        <v>70000</v>
      </c>
      <c r="O501" s="234">
        <f t="shared" si="75"/>
        <v>0</v>
      </c>
      <c r="P501" s="143">
        <v>101428.57142857143</v>
      </c>
      <c r="Q501" s="261">
        <f t="shared" si="76"/>
        <v>1428.5714285714348</v>
      </c>
      <c r="R501" s="281">
        <v>70000</v>
      </c>
      <c r="S501" s="234">
        <f t="shared" si="77"/>
        <v>0</v>
      </c>
      <c r="T501" s="22">
        <v>101428.57142857143</v>
      </c>
      <c r="U501" s="261">
        <f t="shared" si="78"/>
        <v>0</v>
      </c>
      <c r="V501" s="281">
        <v>70000</v>
      </c>
      <c r="W501" s="234">
        <f t="shared" si="79"/>
        <v>0</v>
      </c>
      <c r="X501" s="22">
        <v>101428.57142857143</v>
      </c>
      <c r="Y501" s="261">
        <f t="shared" si="80"/>
        <v>0</v>
      </c>
    </row>
    <row r="502" spans="1:25">
      <c r="A502" s="2"/>
      <c r="B502" s="71">
        <v>498</v>
      </c>
      <c r="C502" s="48" t="s">
        <v>502</v>
      </c>
      <c r="D502" s="234">
        <v>67500</v>
      </c>
      <c r="E502" s="143">
        <v>96428.571428571435</v>
      </c>
      <c r="F502">
        <v>67500</v>
      </c>
      <c r="G502" s="234">
        <f t="shared" si="71"/>
        <v>0</v>
      </c>
      <c r="H502">
        <v>96428.571428571435</v>
      </c>
      <c r="I502" s="261">
        <f t="shared" si="72"/>
        <v>0</v>
      </c>
      <c r="J502">
        <v>67500</v>
      </c>
      <c r="K502" s="234">
        <f t="shared" si="73"/>
        <v>0</v>
      </c>
      <c r="L502" s="143">
        <v>96428.571428571435</v>
      </c>
      <c r="M502" s="261">
        <f t="shared" si="74"/>
        <v>0</v>
      </c>
      <c r="N502" s="234">
        <v>67500</v>
      </c>
      <c r="O502" s="234">
        <f t="shared" si="75"/>
        <v>0</v>
      </c>
      <c r="P502" s="143">
        <v>96428.571428571435</v>
      </c>
      <c r="Q502" s="261">
        <f t="shared" si="76"/>
        <v>0</v>
      </c>
      <c r="R502" s="281">
        <v>67500</v>
      </c>
      <c r="S502" s="234">
        <f t="shared" si="77"/>
        <v>0</v>
      </c>
      <c r="T502" s="22">
        <v>96428.571428571435</v>
      </c>
      <c r="U502" s="261">
        <f t="shared" si="78"/>
        <v>0</v>
      </c>
      <c r="V502" s="281">
        <v>67500</v>
      </c>
      <c r="W502" s="234">
        <f t="shared" si="79"/>
        <v>0</v>
      </c>
      <c r="X502" s="22">
        <v>96428.571428571435</v>
      </c>
      <c r="Y502" s="261">
        <f t="shared" si="80"/>
        <v>0</v>
      </c>
    </row>
    <row r="503" spans="1:25">
      <c r="A503" s="2"/>
      <c r="B503" s="71">
        <v>499</v>
      </c>
      <c r="C503" s="48" t="s">
        <v>503</v>
      </c>
      <c r="D503" s="234">
        <v>70000</v>
      </c>
      <c r="E503" s="143">
        <v>100000</v>
      </c>
      <c r="F503">
        <v>70000</v>
      </c>
      <c r="G503" s="234">
        <f t="shared" si="71"/>
        <v>0</v>
      </c>
      <c r="H503">
        <v>100000</v>
      </c>
      <c r="I503" s="261">
        <f t="shared" si="72"/>
        <v>0</v>
      </c>
      <c r="J503">
        <v>70000</v>
      </c>
      <c r="K503" s="234">
        <f t="shared" si="73"/>
        <v>0</v>
      </c>
      <c r="L503" s="143">
        <v>100000</v>
      </c>
      <c r="M503" s="261">
        <f t="shared" si="74"/>
        <v>0</v>
      </c>
      <c r="N503" s="234">
        <v>70000</v>
      </c>
      <c r="O503" s="234">
        <f t="shared" si="75"/>
        <v>0</v>
      </c>
      <c r="P503" s="143">
        <v>101428.57142857143</v>
      </c>
      <c r="Q503" s="261">
        <f t="shared" si="76"/>
        <v>1428.5714285714348</v>
      </c>
      <c r="R503" s="281">
        <v>70000</v>
      </c>
      <c r="S503" s="234">
        <f t="shared" si="77"/>
        <v>0</v>
      </c>
      <c r="T503" s="22">
        <v>101428.57142857143</v>
      </c>
      <c r="U503" s="261">
        <f t="shared" si="78"/>
        <v>0</v>
      </c>
      <c r="V503" s="281">
        <v>70000</v>
      </c>
      <c r="W503" s="234">
        <f t="shared" si="79"/>
        <v>0</v>
      </c>
      <c r="X503" s="22">
        <v>101428.57142857143</v>
      </c>
      <c r="Y503" s="261">
        <f t="shared" si="80"/>
        <v>0</v>
      </c>
    </row>
    <row r="504" spans="1:25">
      <c r="A504" s="2"/>
      <c r="B504" s="2">
        <v>500</v>
      </c>
      <c r="C504" s="48" t="s">
        <v>504</v>
      </c>
      <c r="D504" s="234">
        <v>65950</v>
      </c>
      <c r="E504" s="143">
        <v>94214.285714285725</v>
      </c>
      <c r="F504">
        <v>65950</v>
      </c>
      <c r="G504" s="234">
        <f t="shared" si="71"/>
        <v>0</v>
      </c>
      <c r="H504">
        <v>94214.285714285725</v>
      </c>
      <c r="I504" s="261">
        <f t="shared" si="72"/>
        <v>0</v>
      </c>
      <c r="J504">
        <v>65950</v>
      </c>
      <c r="K504" s="234">
        <f t="shared" si="73"/>
        <v>0</v>
      </c>
      <c r="L504" s="143">
        <v>94214.285714285725</v>
      </c>
      <c r="M504" s="261">
        <f t="shared" si="74"/>
        <v>0</v>
      </c>
      <c r="N504" s="234">
        <v>65950</v>
      </c>
      <c r="O504" s="234">
        <f t="shared" si="75"/>
        <v>0</v>
      </c>
      <c r="P504" s="143">
        <v>94214.285714285725</v>
      </c>
      <c r="Q504" s="261">
        <f t="shared" si="76"/>
        <v>0</v>
      </c>
      <c r="R504" s="281">
        <v>65950</v>
      </c>
      <c r="S504" s="234">
        <f t="shared" si="77"/>
        <v>0</v>
      </c>
      <c r="T504" s="22">
        <v>94214.285714285725</v>
      </c>
      <c r="U504" s="261">
        <f t="shared" si="78"/>
        <v>0</v>
      </c>
      <c r="V504" s="281">
        <v>65950</v>
      </c>
      <c r="W504" s="234">
        <f t="shared" si="79"/>
        <v>0</v>
      </c>
      <c r="X504" s="22">
        <v>94214.285714285725</v>
      </c>
      <c r="Y504" s="261">
        <f t="shared" si="80"/>
        <v>0</v>
      </c>
    </row>
    <row r="505" spans="1:25">
      <c r="A505" s="2"/>
      <c r="B505" s="71">
        <v>501</v>
      </c>
      <c r="C505" s="48" t="s">
        <v>505</v>
      </c>
      <c r="D505" s="234">
        <v>75000</v>
      </c>
      <c r="E505" s="143">
        <v>107142.85714285714</v>
      </c>
      <c r="F505">
        <v>75000</v>
      </c>
      <c r="G505" s="234">
        <f t="shared" si="71"/>
        <v>0</v>
      </c>
      <c r="H505">
        <v>110000</v>
      </c>
      <c r="I505" s="261">
        <f t="shared" si="72"/>
        <v>2857.1428571428551</v>
      </c>
      <c r="J505">
        <v>75000</v>
      </c>
      <c r="K505" s="234">
        <f t="shared" si="73"/>
        <v>0</v>
      </c>
      <c r="L505" s="143">
        <v>110000</v>
      </c>
      <c r="M505" s="261">
        <f t="shared" si="74"/>
        <v>0</v>
      </c>
      <c r="N505" s="234">
        <v>75000</v>
      </c>
      <c r="O505" s="234">
        <f t="shared" si="75"/>
        <v>0</v>
      </c>
      <c r="P505" s="143">
        <v>110000</v>
      </c>
      <c r="Q505" s="261">
        <f t="shared" si="76"/>
        <v>0</v>
      </c>
      <c r="R505" s="281">
        <v>75000</v>
      </c>
      <c r="S505" s="234">
        <f t="shared" si="77"/>
        <v>0</v>
      </c>
      <c r="T505" s="22">
        <v>110000</v>
      </c>
      <c r="U505" s="261">
        <f t="shared" si="78"/>
        <v>0</v>
      </c>
      <c r="V505" s="281">
        <v>75000</v>
      </c>
      <c r="W505" s="234">
        <f t="shared" si="79"/>
        <v>0</v>
      </c>
      <c r="X505" s="22">
        <v>110000</v>
      </c>
      <c r="Y505" s="261">
        <f t="shared" si="80"/>
        <v>0</v>
      </c>
    </row>
    <row r="506" spans="1:25">
      <c r="A506" s="2"/>
      <c r="B506" s="71">
        <v>502</v>
      </c>
      <c r="C506" s="48" t="s">
        <v>506</v>
      </c>
      <c r="D506" s="234">
        <v>51950</v>
      </c>
      <c r="E506" s="143">
        <v>74214.285714285725</v>
      </c>
      <c r="F506">
        <v>51950</v>
      </c>
      <c r="G506" s="234">
        <f t="shared" si="71"/>
        <v>0</v>
      </c>
      <c r="H506">
        <v>74214.285714285725</v>
      </c>
      <c r="I506" s="261">
        <f t="shared" si="72"/>
        <v>0</v>
      </c>
      <c r="J506">
        <v>51950</v>
      </c>
      <c r="K506" s="234">
        <f t="shared" si="73"/>
        <v>0</v>
      </c>
      <c r="L506" s="143">
        <v>74214.285714285725</v>
      </c>
      <c r="M506" s="261">
        <f t="shared" si="74"/>
        <v>0</v>
      </c>
      <c r="N506" s="234">
        <v>51950</v>
      </c>
      <c r="O506" s="234">
        <f t="shared" si="75"/>
        <v>0</v>
      </c>
      <c r="P506" s="143">
        <v>74214.285714285725</v>
      </c>
      <c r="Q506" s="261">
        <f t="shared" si="76"/>
        <v>0</v>
      </c>
      <c r="R506" s="281">
        <v>51950</v>
      </c>
      <c r="S506" s="234">
        <f t="shared" si="77"/>
        <v>0</v>
      </c>
      <c r="T506" s="22">
        <v>74214.285714285725</v>
      </c>
      <c r="U506" s="261">
        <f t="shared" si="78"/>
        <v>0</v>
      </c>
      <c r="V506" s="281">
        <v>51950</v>
      </c>
      <c r="W506" s="234">
        <f t="shared" si="79"/>
        <v>0</v>
      </c>
      <c r="X506" s="22">
        <v>74214.285714285725</v>
      </c>
      <c r="Y506" s="261">
        <f t="shared" si="80"/>
        <v>0</v>
      </c>
    </row>
    <row r="507" spans="1:25">
      <c r="A507" s="2"/>
      <c r="B507" s="2">
        <v>503</v>
      </c>
      <c r="C507" s="48" t="s">
        <v>507</v>
      </c>
      <c r="D507" s="234">
        <v>63950</v>
      </c>
      <c r="E507" s="143">
        <v>91357.14285714287</v>
      </c>
      <c r="F507">
        <v>63950</v>
      </c>
      <c r="G507" s="234">
        <f t="shared" si="71"/>
        <v>0</v>
      </c>
      <c r="H507">
        <v>91357.14285714287</v>
      </c>
      <c r="I507" s="261">
        <f t="shared" si="72"/>
        <v>0</v>
      </c>
      <c r="J507">
        <v>63950</v>
      </c>
      <c r="K507" s="234">
        <f t="shared" si="73"/>
        <v>0</v>
      </c>
      <c r="L507" s="143">
        <v>91357.14285714287</v>
      </c>
      <c r="M507" s="261">
        <f t="shared" si="74"/>
        <v>0</v>
      </c>
      <c r="N507" s="234">
        <v>63950</v>
      </c>
      <c r="O507" s="234">
        <f t="shared" si="75"/>
        <v>0</v>
      </c>
      <c r="P507" s="143">
        <v>91357.14285714287</v>
      </c>
      <c r="Q507" s="261">
        <f t="shared" si="76"/>
        <v>0</v>
      </c>
      <c r="R507" s="281">
        <v>63950</v>
      </c>
      <c r="S507" s="234">
        <f t="shared" si="77"/>
        <v>0</v>
      </c>
      <c r="T507" s="22">
        <v>91357.14285714287</v>
      </c>
      <c r="U507" s="261">
        <f t="shared" si="78"/>
        <v>0</v>
      </c>
      <c r="V507" s="281">
        <v>63950</v>
      </c>
      <c r="W507" s="234">
        <f t="shared" si="79"/>
        <v>0</v>
      </c>
      <c r="X507" s="22">
        <v>91357.14285714287</v>
      </c>
      <c r="Y507" s="261">
        <f t="shared" si="80"/>
        <v>0</v>
      </c>
    </row>
    <row r="508" spans="1:25">
      <c r="A508" s="2"/>
      <c r="B508" s="71">
        <v>504</v>
      </c>
      <c r="C508" s="48" t="s">
        <v>508</v>
      </c>
      <c r="D508" s="234">
        <v>76450</v>
      </c>
      <c r="E508" s="143">
        <v>109214.28571428572</v>
      </c>
      <c r="F508">
        <v>76450</v>
      </c>
      <c r="G508" s="234">
        <f t="shared" si="71"/>
        <v>0</v>
      </c>
      <c r="H508">
        <v>109214.28571428572</v>
      </c>
      <c r="I508" s="261">
        <f t="shared" si="72"/>
        <v>0</v>
      </c>
      <c r="J508">
        <v>76450</v>
      </c>
      <c r="K508" s="234">
        <f t="shared" si="73"/>
        <v>0</v>
      </c>
      <c r="L508" s="143">
        <v>109214.28571428572</v>
      </c>
      <c r="M508" s="261">
        <f t="shared" si="74"/>
        <v>0</v>
      </c>
      <c r="N508" s="234">
        <v>76450</v>
      </c>
      <c r="O508" s="234">
        <f t="shared" si="75"/>
        <v>0</v>
      </c>
      <c r="P508" s="143">
        <v>109214.28571428572</v>
      </c>
      <c r="Q508" s="261">
        <f t="shared" si="76"/>
        <v>0</v>
      </c>
      <c r="R508" s="281">
        <v>76450</v>
      </c>
      <c r="S508" s="234">
        <f t="shared" si="77"/>
        <v>0</v>
      </c>
      <c r="T508" s="22">
        <v>109214.28571428572</v>
      </c>
      <c r="U508" s="261">
        <f t="shared" si="78"/>
        <v>0</v>
      </c>
      <c r="V508" s="281">
        <v>76450</v>
      </c>
      <c r="W508" s="234">
        <f t="shared" si="79"/>
        <v>0</v>
      </c>
      <c r="X508" s="22">
        <v>109214.28571428572</v>
      </c>
      <c r="Y508" s="261">
        <f t="shared" si="80"/>
        <v>0</v>
      </c>
    </row>
    <row r="509" spans="1:25">
      <c r="A509" s="2"/>
      <c r="B509" s="71">
        <v>505</v>
      </c>
      <c r="C509" s="48" t="s">
        <v>509</v>
      </c>
      <c r="D509" s="234">
        <v>65950</v>
      </c>
      <c r="E509" s="143">
        <v>94214.285714285725</v>
      </c>
      <c r="F509">
        <v>65950</v>
      </c>
      <c r="G509" s="234">
        <f t="shared" si="71"/>
        <v>0</v>
      </c>
      <c r="H509">
        <v>94214.285714285725</v>
      </c>
      <c r="I509" s="261">
        <f t="shared" si="72"/>
        <v>0</v>
      </c>
      <c r="J509">
        <v>65950</v>
      </c>
      <c r="K509" s="234">
        <f t="shared" si="73"/>
        <v>0</v>
      </c>
      <c r="L509" s="143">
        <v>94214.285714285725</v>
      </c>
      <c r="M509" s="261">
        <f t="shared" si="74"/>
        <v>0</v>
      </c>
      <c r="N509" s="234">
        <v>65950</v>
      </c>
      <c r="O509" s="234">
        <f t="shared" si="75"/>
        <v>0</v>
      </c>
      <c r="P509" s="143">
        <v>94214.285714285725</v>
      </c>
      <c r="Q509" s="261">
        <f t="shared" si="76"/>
        <v>0</v>
      </c>
      <c r="R509" s="281">
        <v>65950</v>
      </c>
      <c r="S509" s="234">
        <f t="shared" si="77"/>
        <v>0</v>
      </c>
      <c r="T509" s="22">
        <v>94214.285714285725</v>
      </c>
      <c r="U509" s="261">
        <f t="shared" si="78"/>
        <v>0</v>
      </c>
      <c r="V509" s="281">
        <v>65950</v>
      </c>
      <c r="W509" s="234">
        <f t="shared" si="79"/>
        <v>0</v>
      </c>
      <c r="X509" s="22">
        <v>94214.285714285725</v>
      </c>
      <c r="Y509" s="261">
        <f t="shared" si="80"/>
        <v>0</v>
      </c>
    </row>
    <row r="510" spans="1:25">
      <c r="A510" s="2"/>
      <c r="B510" s="2">
        <v>506</v>
      </c>
      <c r="C510" s="174" t="s">
        <v>746</v>
      </c>
      <c r="D510" s="234">
        <v>38200</v>
      </c>
      <c r="E510" s="143">
        <v>53142.857142857145</v>
      </c>
      <c r="F510">
        <v>38200</v>
      </c>
      <c r="G510" s="234">
        <f t="shared" si="71"/>
        <v>0</v>
      </c>
      <c r="H510">
        <v>56000</v>
      </c>
      <c r="I510" s="261">
        <f t="shared" si="72"/>
        <v>2857.1428571428551</v>
      </c>
      <c r="J510">
        <v>38200</v>
      </c>
      <c r="K510" s="234">
        <f t="shared" si="73"/>
        <v>0</v>
      </c>
      <c r="L510" s="143">
        <v>56000</v>
      </c>
      <c r="M510" s="261">
        <f t="shared" si="74"/>
        <v>0</v>
      </c>
      <c r="N510" s="234">
        <v>38200</v>
      </c>
      <c r="O510" s="234">
        <f t="shared" si="75"/>
        <v>0</v>
      </c>
      <c r="P510" s="143">
        <v>56000</v>
      </c>
      <c r="Q510" s="261">
        <f t="shared" si="76"/>
        <v>0</v>
      </c>
      <c r="R510" s="281">
        <v>38200</v>
      </c>
      <c r="S510" s="234">
        <f t="shared" si="77"/>
        <v>0</v>
      </c>
      <c r="T510" s="22">
        <v>56000</v>
      </c>
      <c r="U510" s="261">
        <f t="shared" si="78"/>
        <v>0</v>
      </c>
      <c r="V510" s="281">
        <v>38200</v>
      </c>
      <c r="W510" s="234">
        <f t="shared" si="79"/>
        <v>0</v>
      </c>
      <c r="X510" s="22">
        <v>56000</v>
      </c>
      <c r="Y510" s="261">
        <f t="shared" si="80"/>
        <v>0</v>
      </c>
    </row>
    <row r="511" spans="1:25">
      <c r="A511" s="2"/>
      <c r="B511" s="71">
        <v>507</v>
      </c>
      <c r="C511" s="174" t="s">
        <v>747</v>
      </c>
      <c r="D511" s="234">
        <v>42700</v>
      </c>
      <c r="E511" s="143">
        <v>59571.428571428572</v>
      </c>
      <c r="F511">
        <v>42700</v>
      </c>
      <c r="G511" s="234">
        <f t="shared" si="71"/>
        <v>0</v>
      </c>
      <c r="H511">
        <v>59571.428571428572</v>
      </c>
      <c r="I511" s="261">
        <f t="shared" si="72"/>
        <v>0</v>
      </c>
      <c r="J511">
        <v>42700</v>
      </c>
      <c r="K511" s="234">
        <f t="shared" si="73"/>
        <v>0</v>
      </c>
      <c r="L511" s="143">
        <v>59571.428571428572</v>
      </c>
      <c r="M511" s="261">
        <f t="shared" si="74"/>
        <v>0</v>
      </c>
      <c r="N511" s="234">
        <v>42700</v>
      </c>
      <c r="O511" s="234">
        <f t="shared" si="75"/>
        <v>0</v>
      </c>
      <c r="P511" s="143">
        <v>59571.428571428572</v>
      </c>
      <c r="Q511" s="261">
        <f t="shared" si="76"/>
        <v>0</v>
      </c>
      <c r="R511" s="281">
        <v>42700</v>
      </c>
      <c r="S511" s="234">
        <f t="shared" si="77"/>
        <v>0</v>
      </c>
      <c r="T511" s="22">
        <v>59571.428571428572</v>
      </c>
      <c r="U511" s="261">
        <f t="shared" si="78"/>
        <v>0</v>
      </c>
      <c r="V511" s="281">
        <v>42700</v>
      </c>
      <c r="W511" s="234">
        <f t="shared" si="79"/>
        <v>0</v>
      </c>
      <c r="X511" s="22">
        <v>59571.428571428572</v>
      </c>
      <c r="Y511" s="261">
        <f t="shared" si="80"/>
        <v>0</v>
      </c>
    </row>
    <row r="512" spans="1:25">
      <c r="A512" s="2"/>
      <c r="B512" s="71">
        <v>508</v>
      </c>
      <c r="C512" s="52" t="s">
        <v>510</v>
      </c>
      <c r="D512" s="234">
        <v>38200</v>
      </c>
      <c r="E512" s="143">
        <v>53142.857142857145</v>
      </c>
      <c r="F512">
        <v>38200</v>
      </c>
      <c r="G512" s="234">
        <f t="shared" si="71"/>
        <v>0</v>
      </c>
      <c r="H512">
        <v>56000</v>
      </c>
      <c r="I512" s="261">
        <f t="shared" si="72"/>
        <v>2857.1428571428551</v>
      </c>
      <c r="J512">
        <v>38200</v>
      </c>
      <c r="K512" s="234">
        <f t="shared" si="73"/>
        <v>0</v>
      </c>
      <c r="L512" s="143">
        <v>56000</v>
      </c>
      <c r="M512" s="261">
        <f t="shared" si="74"/>
        <v>0</v>
      </c>
      <c r="N512" s="234">
        <v>38200</v>
      </c>
      <c r="O512" s="234">
        <f t="shared" si="75"/>
        <v>0</v>
      </c>
      <c r="P512" s="143">
        <v>56000</v>
      </c>
      <c r="Q512" s="261">
        <f t="shared" si="76"/>
        <v>0</v>
      </c>
      <c r="R512" s="281">
        <v>38200</v>
      </c>
      <c r="S512" s="234">
        <f t="shared" si="77"/>
        <v>0</v>
      </c>
      <c r="T512" s="22">
        <v>56000</v>
      </c>
      <c r="U512" s="261">
        <f t="shared" si="78"/>
        <v>0</v>
      </c>
      <c r="V512" s="281">
        <v>38200</v>
      </c>
      <c r="W512" s="234">
        <f t="shared" si="79"/>
        <v>0</v>
      </c>
      <c r="X512" s="22">
        <v>56000</v>
      </c>
      <c r="Y512" s="261">
        <f t="shared" si="80"/>
        <v>0</v>
      </c>
    </row>
    <row r="513" spans="1:25">
      <c r="A513" s="2"/>
      <c r="B513" s="2">
        <v>509</v>
      </c>
      <c r="C513" s="52" t="s">
        <v>511</v>
      </c>
      <c r="D513" s="234">
        <v>38200</v>
      </c>
      <c r="E513" s="143">
        <v>53142.857142857145</v>
      </c>
      <c r="F513">
        <v>38200</v>
      </c>
      <c r="G513" s="234">
        <f t="shared" si="71"/>
        <v>0</v>
      </c>
      <c r="H513">
        <v>56000</v>
      </c>
      <c r="I513" s="261">
        <f t="shared" si="72"/>
        <v>2857.1428571428551</v>
      </c>
      <c r="J513">
        <v>38200</v>
      </c>
      <c r="K513" s="234">
        <f t="shared" si="73"/>
        <v>0</v>
      </c>
      <c r="L513" s="143">
        <v>56000</v>
      </c>
      <c r="M513" s="261">
        <f t="shared" si="74"/>
        <v>0</v>
      </c>
      <c r="N513" s="234">
        <v>38200</v>
      </c>
      <c r="O513" s="234">
        <f t="shared" si="75"/>
        <v>0</v>
      </c>
      <c r="P513" s="143">
        <v>56000</v>
      </c>
      <c r="Q513" s="261">
        <f t="shared" si="76"/>
        <v>0</v>
      </c>
      <c r="R513" s="281">
        <v>38200</v>
      </c>
      <c r="S513" s="234">
        <f t="shared" si="77"/>
        <v>0</v>
      </c>
      <c r="T513" s="22">
        <v>56000</v>
      </c>
      <c r="U513" s="261">
        <f t="shared" si="78"/>
        <v>0</v>
      </c>
      <c r="V513" s="281">
        <v>38200</v>
      </c>
      <c r="W513" s="234">
        <f t="shared" si="79"/>
        <v>0</v>
      </c>
      <c r="X513" s="22">
        <v>56000</v>
      </c>
      <c r="Y513" s="261">
        <f t="shared" si="80"/>
        <v>0</v>
      </c>
    </row>
    <row r="514" spans="1:25">
      <c r="A514" s="2"/>
      <c r="B514" s="71">
        <v>510</v>
      </c>
      <c r="C514" s="174" t="s">
        <v>748</v>
      </c>
      <c r="D514" s="234">
        <v>42700</v>
      </c>
      <c r="E514" s="143">
        <v>59571.428571428572</v>
      </c>
      <c r="F514">
        <v>42700</v>
      </c>
      <c r="G514" s="234">
        <f t="shared" si="71"/>
        <v>0</v>
      </c>
      <c r="H514">
        <v>59571.428571428572</v>
      </c>
      <c r="I514" s="261">
        <f t="shared" si="72"/>
        <v>0</v>
      </c>
      <c r="J514">
        <v>42700</v>
      </c>
      <c r="K514" s="234">
        <f t="shared" si="73"/>
        <v>0</v>
      </c>
      <c r="L514" s="143">
        <v>59571.428571428572</v>
      </c>
      <c r="M514" s="261">
        <f t="shared" si="74"/>
        <v>0</v>
      </c>
      <c r="N514" s="234">
        <v>42700</v>
      </c>
      <c r="O514" s="234">
        <f t="shared" si="75"/>
        <v>0</v>
      </c>
      <c r="P514" s="143">
        <v>59571.428571428572</v>
      </c>
      <c r="Q514" s="261">
        <f t="shared" si="76"/>
        <v>0</v>
      </c>
      <c r="R514" s="281">
        <v>42700</v>
      </c>
      <c r="S514" s="234">
        <f t="shared" si="77"/>
        <v>0</v>
      </c>
      <c r="T514" s="22">
        <v>59571.428571428572</v>
      </c>
      <c r="U514" s="261">
        <f t="shared" si="78"/>
        <v>0</v>
      </c>
      <c r="V514" s="281">
        <v>42700</v>
      </c>
      <c r="W514" s="234">
        <f t="shared" si="79"/>
        <v>0</v>
      </c>
      <c r="X514" s="22">
        <v>59571.428571428572</v>
      </c>
      <c r="Y514" s="261">
        <f t="shared" si="80"/>
        <v>0</v>
      </c>
    </row>
    <row r="515" spans="1:25">
      <c r="A515" s="2"/>
      <c r="B515" s="71">
        <v>511</v>
      </c>
      <c r="C515" s="174" t="s">
        <v>749</v>
      </c>
      <c r="D515" s="234">
        <v>38200</v>
      </c>
      <c r="E515" s="143">
        <v>53142.857142857145</v>
      </c>
      <c r="F515">
        <v>38200</v>
      </c>
      <c r="G515" s="234">
        <f t="shared" si="71"/>
        <v>0</v>
      </c>
      <c r="H515">
        <v>56000</v>
      </c>
      <c r="I515" s="261">
        <f t="shared" si="72"/>
        <v>2857.1428571428551</v>
      </c>
      <c r="J515">
        <v>38200</v>
      </c>
      <c r="K515" s="234">
        <f t="shared" si="73"/>
        <v>0</v>
      </c>
      <c r="L515" s="143">
        <v>56000</v>
      </c>
      <c r="M515" s="261">
        <f t="shared" si="74"/>
        <v>0</v>
      </c>
      <c r="N515" s="234">
        <v>38200</v>
      </c>
      <c r="O515" s="234">
        <f t="shared" si="75"/>
        <v>0</v>
      </c>
      <c r="P515" s="143">
        <v>56000</v>
      </c>
      <c r="Q515" s="261">
        <f t="shared" si="76"/>
        <v>0</v>
      </c>
      <c r="R515" s="234">
        <v>38200</v>
      </c>
      <c r="S515" s="234">
        <f t="shared" si="77"/>
        <v>0</v>
      </c>
      <c r="T515" s="22">
        <v>56000</v>
      </c>
      <c r="U515" s="261">
        <f t="shared" si="78"/>
        <v>0</v>
      </c>
      <c r="V515" s="234">
        <v>38200</v>
      </c>
      <c r="W515" s="234">
        <f t="shared" si="79"/>
        <v>0</v>
      </c>
      <c r="X515" s="22">
        <v>56000</v>
      </c>
      <c r="Y515" s="261">
        <f t="shared" si="80"/>
        <v>0</v>
      </c>
    </row>
  </sheetData>
  <mergeCells count="6">
    <mergeCell ref="V2:Y2"/>
    <mergeCell ref="J2:M2"/>
    <mergeCell ref="D2:E2"/>
    <mergeCell ref="F2:I2"/>
    <mergeCell ref="N2:Q2"/>
    <mergeCell ref="R2:U2"/>
  </mergeCells>
  <conditionalFormatting sqref="I5:I515">
    <cfRule type="cellIs" dxfId="13" priority="3" operator="lessThan">
      <formula>-4000</formula>
    </cfRule>
    <cfRule type="cellIs" dxfId="12" priority="4" operator="greaterThan">
      <formula>4000</formula>
    </cfRule>
  </conditionalFormatting>
  <conditionalFormatting sqref="Q5:Q515">
    <cfRule type="cellIs" dxfId="11" priority="1" operator="lessThan">
      <formula>-3000</formula>
    </cfRule>
    <cfRule type="cellIs" dxfId="10" priority="2" operator="greaterThan">
      <formula>3500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X515"/>
  <sheetViews>
    <sheetView topLeftCell="H1" zoomScale="85" zoomScaleNormal="85" workbookViewId="0">
      <selection activeCell="U5" sqref="U5:U97"/>
    </sheetView>
  </sheetViews>
  <sheetFormatPr defaultColWidth="9.109375" defaultRowHeight="14.4"/>
  <cols>
    <col min="1" max="2" width="9.109375" style="62"/>
    <col min="3" max="3" width="11.6640625" style="62" bestFit="1" customWidth="1"/>
    <col min="4" max="4" width="11.88671875" style="62" bestFit="1" customWidth="1"/>
    <col min="5" max="5" width="11.6640625" style="62" bestFit="1" customWidth="1"/>
    <col min="6" max="6" width="11.33203125" style="62" bestFit="1" customWidth="1"/>
    <col min="7" max="7" width="12.44140625" style="62" bestFit="1" customWidth="1"/>
    <col min="8" max="8" width="12.33203125" style="62" bestFit="1" customWidth="1"/>
    <col min="9" max="9" width="11.6640625" style="62" bestFit="1" customWidth="1"/>
    <col min="10" max="10" width="7.109375" style="62" bestFit="1" customWidth="1"/>
    <col min="11" max="11" width="11.6640625" style="62" bestFit="1" customWidth="1"/>
    <col min="12" max="12" width="10.33203125" style="62" bestFit="1" customWidth="1"/>
    <col min="13" max="13" width="11.6640625" style="62" bestFit="1" customWidth="1"/>
    <col min="14" max="14" width="11.33203125" style="62" bestFit="1" customWidth="1"/>
    <col min="15" max="15" width="11.6640625" style="62" bestFit="1" customWidth="1"/>
    <col min="16" max="16" width="11.33203125" style="62" bestFit="1" customWidth="1"/>
    <col min="17" max="17" width="11.6640625" style="62" bestFit="1" customWidth="1"/>
    <col min="18" max="18" width="11.33203125" style="62" bestFit="1" customWidth="1"/>
    <col min="19" max="19" width="11.6640625" style="62" bestFit="1" customWidth="1"/>
    <col min="20" max="20" width="10.33203125" style="62" bestFit="1" customWidth="1"/>
    <col min="21" max="21" width="11.6640625" style="62" bestFit="1" customWidth="1"/>
    <col min="22" max="22" width="11.33203125" style="62" bestFit="1" customWidth="1"/>
    <col min="23" max="23" width="11.6640625" style="62" bestFit="1" customWidth="1"/>
    <col min="24" max="24" width="11.33203125" style="62" bestFit="1" customWidth="1"/>
    <col min="25" max="16384" width="9.109375" style="234"/>
  </cols>
  <sheetData>
    <row r="1" spans="1:24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</row>
    <row r="2" spans="1:24">
      <c r="A2" s="234"/>
      <c r="B2" s="234"/>
      <c r="C2" s="336">
        <v>43067</v>
      </c>
      <c r="D2" s="337"/>
      <c r="E2" s="340">
        <v>43069</v>
      </c>
      <c r="F2" s="340"/>
      <c r="G2" s="340"/>
      <c r="H2" s="340"/>
      <c r="I2" s="335" t="s">
        <v>864</v>
      </c>
      <c r="J2" s="335"/>
      <c r="K2" s="335"/>
      <c r="L2" s="335"/>
      <c r="M2" s="339" t="s">
        <v>864</v>
      </c>
      <c r="N2" s="339"/>
      <c r="O2" s="339"/>
      <c r="P2" s="339"/>
      <c r="Q2" s="335" t="s">
        <v>864</v>
      </c>
      <c r="R2" s="335"/>
      <c r="S2" s="335"/>
      <c r="T2" s="335"/>
      <c r="U2" s="339" t="s">
        <v>874</v>
      </c>
      <c r="V2" s="339"/>
      <c r="W2" s="339"/>
      <c r="X2" s="339"/>
    </row>
    <row r="3" spans="1:24">
      <c r="A3" s="234"/>
      <c r="B3" s="234"/>
      <c r="C3" s="260">
        <f>AVERAGE(C5:C515)</f>
        <v>59701.075268817207</v>
      </c>
      <c r="D3" s="260">
        <f>AVERAGE(D5:D515)</f>
        <v>86316.436251920153</v>
      </c>
      <c r="E3" s="285">
        <f>AVERAGE(E5:E515)</f>
        <v>60194.021739130432</v>
      </c>
      <c r="F3" s="285">
        <f>SUM(F5:F515)</f>
        <v>-14350</v>
      </c>
      <c r="G3" s="285">
        <f>AVERAGE(G5:G515)</f>
        <v>86096.00614439325</v>
      </c>
      <c r="H3" s="285">
        <f>SUM(H5:H515)</f>
        <v>-20499.999999999985</v>
      </c>
      <c r="I3" s="280">
        <f>AVERAGE(I5:I515)</f>
        <v>60194.021739130432</v>
      </c>
      <c r="J3" s="280">
        <f>SUM(J5:J515)</f>
        <v>0</v>
      </c>
      <c r="K3" s="280">
        <f>AVERAGE(K5:K515)</f>
        <v>87908.602150537612</v>
      </c>
      <c r="L3" s="280">
        <f>SUM(L5:L515)</f>
        <v>168571.42857142846</v>
      </c>
      <c r="M3" s="285">
        <f>AVERAGE(M5:M515)</f>
        <v>60191.93548387097</v>
      </c>
      <c r="N3" s="285">
        <f>SUM(N5:N515)</f>
        <v>60000</v>
      </c>
      <c r="O3" s="285">
        <f>AVERAGE(O5:O515)</f>
        <v>90235.791090629791</v>
      </c>
      <c r="P3" s="285">
        <f>SUM(P5:P515)</f>
        <v>216428.57142857122</v>
      </c>
      <c r="Q3" s="280">
        <f>AVERAGE(Q5:Q515)</f>
        <v>60191.93548387097</v>
      </c>
      <c r="R3" s="280">
        <f>SUM(R5:R515)</f>
        <v>0</v>
      </c>
      <c r="S3" s="280">
        <f>AVERAGE(S5:S515)</f>
        <v>90143.625192012274</v>
      </c>
      <c r="T3" s="280">
        <f>SUM(T5:T515)</f>
        <v>-8571.4285714285652</v>
      </c>
      <c r="U3" s="285">
        <f>AVERAGE(U5:U515)</f>
        <v>60191.93548387097</v>
      </c>
      <c r="V3" s="285">
        <f>SUM(V5:V515)</f>
        <v>0</v>
      </c>
      <c r="W3" s="285">
        <f>AVERAGE(W5:W515)</f>
        <v>90005.376344085991</v>
      </c>
      <c r="X3" s="285">
        <f>SUM(X5:X515)</f>
        <v>-12857.142857142848</v>
      </c>
    </row>
    <row r="4" spans="1:24">
      <c r="A4" s="9" t="s">
        <v>15</v>
      </c>
      <c r="B4" s="234" t="s">
        <v>16</v>
      </c>
      <c r="C4" s="234" t="s">
        <v>27</v>
      </c>
      <c r="D4" s="234" t="s">
        <v>30</v>
      </c>
      <c r="E4" s="234" t="s">
        <v>27</v>
      </c>
      <c r="F4" s="234" t="s">
        <v>36</v>
      </c>
      <c r="G4" s="234" t="s">
        <v>30</v>
      </c>
      <c r="H4" s="234"/>
      <c r="I4" s="234" t="s">
        <v>27</v>
      </c>
      <c r="J4" s="234" t="s">
        <v>36</v>
      </c>
      <c r="K4" s="143" t="s">
        <v>30</v>
      </c>
      <c r="L4" s="234" t="s">
        <v>36</v>
      </c>
      <c r="M4" s="234" t="s">
        <v>27</v>
      </c>
      <c r="N4" s="234" t="s">
        <v>36</v>
      </c>
      <c r="O4" s="143" t="s">
        <v>30</v>
      </c>
      <c r="P4" s="234" t="s">
        <v>36</v>
      </c>
      <c r="Q4" s="234" t="s">
        <v>27</v>
      </c>
      <c r="R4" s="234" t="s">
        <v>36</v>
      </c>
      <c r="S4" s="143" t="s">
        <v>30</v>
      </c>
      <c r="T4" s="234" t="s">
        <v>36</v>
      </c>
      <c r="U4" s="234" t="s">
        <v>27</v>
      </c>
      <c r="V4" s="234" t="s">
        <v>36</v>
      </c>
      <c r="W4" s="143" t="s">
        <v>30</v>
      </c>
      <c r="X4" s="234" t="s">
        <v>36</v>
      </c>
    </row>
    <row r="5" spans="1:24">
      <c r="A5" s="262">
        <v>424</v>
      </c>
      <c r="B5" s="263" t="s">
        <v>775</v>
      </c>
      <c r="C5" s="264">
        <v>82500</v>
      </c>
      <c r="D5" s="264">
        <v>120714.28571428572</v>
      </c>
      <c r="E5" s="264">
        <v>82500</v>
      </c>
      <c r="F5" s="264">
        <f>E5-C5</f>
        <v>0</v>
      </c>
      <c r="G5" s="264">
        <v>120714.28571428572</v>
      </c>
      <c r="H5" s="264">
        <f>G5-D5</f>
        <v>0</v>
      </c>
      <c r="I5" s="264">
        <v>82500</v>
      </c>
      <c r="J5" s="264">
        <f>I5-E5</f>
        <v>0</v>
      </c>
      <c r="K5" s="264">
        <v>120714.28571428572</v>
      </c>
      <c r="L5" s="264">
        <f>K5-G5</f>
        <v>0</v>
      </c>
      <c r="M5" s="264">
        <v>82500</v>
      </c>
      <c r="N5" s="264">
        <f>M5-I5</f>
        <v>0</v>
      </c>
      <c r="O5" s="264">
        <v>122142.85714285714</v>
      </c>
      <c r="P5" s="264">
        <f>O5-K5</f>
        <v>1428.5714285714203</v>
      </c>
      <c r="Q5" s="264">
        <v>82500</v>
      </c>
      <c r="R5" s="264">
        <f>Q5-M5</f>
        <v>0</v>
      </c>
      <c r="S5" s="264">
        <v>122142.85714285714</v>
      </c>
      <c r="T5" s="264">
        <f>S5-O5</f>
        <v>0</v>
      </c>
      <c r="U5" s="264">
        <v>82500</v>
      </c>
      <c r="V5" s="264">
        <f>U5-Q5</f>
        <v>0</v>
      </c>
      <c r="W5" s="264">
        <v>122142.85714285714</v>
      </c>
      <c r="X5" s="264">
        <f>W5-S5</f>
        <v>0</v>
      </c>
    </row>
    <row r="6" spans="1:24">
      <c r="A6" s="265">
        <v>425</v>
      </c>
      <c r="B6" s="266" t="s">
        <v>791</v>
      </c>
      <c r="C6" s="264">
        <v>75000</v>
      </c>
      <c r="D6" s="264">
        <v>110000</v>
      </c>
      <c r="E6" s="264">
        <v>75000</v>
      </c>
      <c r="F6" s="264">
        <f t="shared" ref="F6:F69" si="0">E6-C6</f>
        <v>0</v>
      </c>
      <c r="G6" s="264">
        <v>110000</v>
      </c>
      <c r="H6" s="264">
        <f t="shared" ref="H6:H69" si="1">G6-D6</f>
        <v>0</v>
      </c>
      <c r="I6" s="264">
        <v>75000</v>
      </c>
      <c r="J6" s="264">
        <f t="shared" ref="J6:J69" si="2">I6-E6</f>
        <v>0</v>
      </c>
      <c r="K6" s="264">
        <v>110000</v>
      </c>
      <c r="L6" s="264">
        <f t="shared" ref="L6:L69" si="3">K6-G6</f>
        <v>0</v>
      </c>
      <c r="M6" s="264">
        <v>75000</v>
      </c>
      <c r="N6" s="264">
        <f t="shared" ref="N6:N69" si="4">M6-I6</f>
        <v>0</v>
      </c>
      <c r="O6" s="264">
        <v>111428.57142857143</v>
      </c>
      <c r="P6" s="264">
        <f t="shared" ref="P6:P69" si="5">O6-K6</f>
        <v>1428.5714285714348</v>
      </c>
      <c r="Q6" s="264">
        <v>75000</v>
      </c>
      <c r="R6" s="264">
        <f t="shared" ref="R6:R69" si="6">Q6-M6</f>
        <v>0</v>
      </c>
      <c r="S6" s="264">
        <v>110000</v>
      </c>
      <c r="T6" s="264">
        <f t="shared" ref="T6:T69" si="7">S6-O6</f>
        <v>-1428.5714285714348</v>
      </c>
      <c r="U6" s="264">
        <v>75000</v>
      </c>
      <c r="V6" s="264">
        <f t="shared" ref="V6:V69" si="8">U6-Q6</f>
        <v>0</v>
      </c>
      <c r="W6" s="264">
        <v>110000</v>
      </c>
      <c r="X6" s="264">
        <f t="shared" ref="X6:X69" si="9">W6-S6</f>
        <v>0</v>
      </c>
    </row>
    <row r="7" spans="1:24">
      <c r="A7" s="262">
        <v>426</v>
      </c>
      <c r="B7" s="266" t="s">
        <v>544</v>
      </c>
      <c r="C7" s="264">
        <v>80000</v>
      </c>
      <c r="D7" s="264">
        <v>117142.85714285714</v>
      </c>
      <c r="E7" s="264">
        <v>80000</v>
      </c>
      <c r="F7" s="264">
        <f t="shared" si="0"/>
        <v>0</v>
      </c>
      <c r="G7" s="264">
        <v>117142.85714285714</v>
      </c>
      <c r="H7" s="264">
        <f t="shared" si="1"/>
        <v>0</v>
      </c>
      <c r="I7" s="264">
        <v>80000</v>
      </c>
      <c r="J7" s="264">
        <f t="shared" si="2"/>
        <v>0</v>
      </c>
      <c r="K7" s="264">
        <v>117142.85714285714</v>
      </c>
      <c r="L7" s="264">
        <f t="shared" si="3"/>
        <v>0</v>
      </c>
      <c r="M7" s="264">
        <v>80000</v>
      </c>
      <c r="N7" s="264">
        <f t="shared" si="4"/>
        <v>0</v>
      </c>
      <c r="O7" s="264">
        <v>118571.42857142858</v>
      </c>
      <c r="P7" s="264">
        <f t="shared" si="5"/>
        <v>1428.5714285714348</v>
      </c>
      <c r="Q7" s="264">
        <v>80000</v>
      </c>
      <c r="R7" s="264">
        <f t="shared" si="6"/>
        <v>0</v>
      </c>
      <c r="S7" s="264">
        <v>118571.42857142858</v>
      </c>
      <c r="T7" s="264">
        <f t="shared" si="7"/>
        <v>0</v>
      </c>
      <c r="U7" s="264">
        <v>80000</v>
      </c>
      <c r="V7" s="264">
        <f t="shared" si="8"/>
        <v>0</v>
      </c>
      <c r="W7" s="264">
        <v>118571.42857142858</v>
      </c>
      <c r="X7" s="264">
        <f t="shared" si="9"/>
        <v>0</v>
      </c>
    </row>
    <row r="8" spans="1:24">
      <c r="A8" s="265">
        <v>427</v>
      </c>
      <c r="B8" s="263" t="s">
        <v>792</v>
      </c>
      <c r="C8" s="264">
        <v>86000</v>
      </c>
      <c r="D8" s="264">
        <v>125714.28571428572</v>
      </c>
      <c r="E8" s="264">
        <v>86000</v>
      </c>
      <c r="F8" s="264">
        <f t="shared" si="0"/>
        <v>0</v>
      </c>
      <c r="G8" s="264">
        <v>125714.28571428572</v>
      </c>
      <c r="H8" s="264">
        <f t="shared" si="1"/>
        <v>0</v>
      </c>
      <c r="I8" s="264">
        <v>86000</v>
      </c>
      <c r="J8" s="264">
        <f t="shared" si="2"/>
        <v>0</v>
      </c>
      <c r="K8" s="264">
        <v>125714.28571428572</v>
      </c>
      <c r="L8" s="264">
        <f t="shared" si="3"/>
        <v>0</v>
      </c>
      <c r="M8" s="264">
        <v>86000</v>
      </c>
      <c r="N8" s="264">
        <f t="shared" si="4"/>
        <v>0</v>
      </c>
      <c r="O8" s="264">
        <v>127142.85714285714</v>
      </c>
      <c r="P8" s="264">
        <f t="shared" si="5"/>
        <v>1428.5714285714203</v>
      </c>
      <c r="Q8" s="264">
        <v>86000</v>
      </c>
      <c r="R8" s="264">
        <f t="shared" si="6"/>
        <v>0</v>
      </c>
      <c r="S8" s="264">
        <v>125714.28571428572</v>
      </c>
      <c r="T8" s="264">
        <f t="shared" si="7"/>
        <v>-1428.5714285714203</v>
      </c>
      <c r="U8" s="264">
        <v>86000</v>
      </c>
      <c r="V8" s="264">
        <f t="shared" si="8"/>
        <v>0</v>
      </c>
      <c r="W8" s="264">
        <v>125714.28571428572</v>
      </c>
      <c r="X8" s="264">
        <f t="shared" si="9"/>
        <v>0</v>
      </c>
    </row>
    <row r="9" spans="1:24">
      <c r="A9" s="265">
        <v>428</v>
      </c>
      <c r="B9" s="263" t="s">
        <v>545</v>
      </c>
      <c r="C9" s="264">
        <v>70000</v>
      </c>
      <c r="D9" s="264">
        <v>102857.14285714287</v>
      </c>
      <c r="E9" s="264">
        <v>70000</v>
      </c>
      <c r="F9" s="264">
        <f t="shared" si="0"/>
        <v>0</v>
      </c>
      <c r="G9" s="264">
        <v>102857.14285714287</v>
      </c>
      <c r="H9" s="264">
        <f t="shared" si="1"/>
        <v>0</v>
      </c>
      <c r="I9" s="264">
        <v>70000</v>
      </c>
      <c r="J9" s="264">
        <f t="shared" si="2"/>
        <v>0</v>
      </c>
      <c r="K9" s="264">
        <v>102857.14285714287</v>
      </c>
      <c r="L9" s="264">
        <f t="shared" si="3"/>
        <v>0</v>
      </c>
      <c r="M9" s="264">
        <v>70000</v>
      </c>
      <c r="N9" s="264">
        <f t="shared" si="4"/>
        <v>0</v>
      </c>
      <c r="O9" s="264">
        <v>104285.71428571429</v>
      </c>
      <c r="P9" s="264">
        <f t="shared" si="5"/>
        <v>1428.5714285714203</v>
      </c>
      <c r="Q9" s="264">
        <v>70000</v>
      </c>
      <c r="R9" s="264">
        <f t="shared" si="6"/>
        <v>0</v>
      </c>
      <c r="S9" s="264">
        <v>104285.71428571429</v>
      </c>
      <c r="T9" s="264">
        <f t="shared" si="7"/>
        <v>0</v>
      </c>
      <c r="U9" s="264">
        <v>70000</v>
      </c>
      <c r="V9" s="264">
        <f t="shared" si="8"/>
        <v>0</v>
      </c>
      <c r="W9" s="264">
        <v>104285.71428571429</v>
      </c>
      <c r="X9" s="264">
        <f t="shared" si="9"/>
        <v>0</v>
      </c>
    </row>
    <row r="10" spans="1:24">
      <c r="A10" s="265">
        <v>429</v>
      </c>
      <c r="B10" s="263" t="s">
        <v>846</v>
      </c>
      <c r="C10" s="264">
        <v>76000</v>
      </c>
      <c r="D10" s="264">
        <v>111428.57142857143</v>
      </c>
      <c r="E10" s="264"/>
      <c r="F10" s="264">
        <f t="shared" si="0"/>
        <v>-76000</v>
      </c>
      <c r="G10" s="264">
        <v>2857.1428571428573</v>
      </c>
      <c r="H10" s="264">
        <f t="shared" si="1"/>
        <v>-108571.42857142858</v>
      </c>
      <c r="I10" s="264"/>
      <c r="J10" s="264">
        <f t="shared" si="2"/>
        <v>0</v>
      </c>
      <c r="K10" s="264">
        <v>2857.1428571428573</v>
      </c>
      <c r="L10" s="264">
        <f t="shared" si="3"/>
        <v>0</v>
      </c>
      <c r="M10" s="264">
        <v>60000</v>
      </c>
      <c r="N10" s="264">
        <f t="shared" si="4"/>
        <v>60000</v>
      </c>
      <c r="O10" s="264">
        <v>90000</v>
      </c>
      <c r="P10" s="264">
        <f t="shared" si="5"/>
        <v>87142.857142857145</v>
      </c>
      <c r="Q10" s="264">
        <v>60000</v>
      </c>
      <c r="R10" s="264">
        <f t="shared" si="6"/>
        <v>0</v>
      </c>
      <c r="S10" s="264">
        <v>90000</v>
      </c>
      <c r="T10" s="264">
        <f t="shared" si="7"/>
        <v>0</v>
      </c>
      <c r="U10" s="264">
        <v>60000</v>
      </c>
      <c r="V10" s="264">
        <f t="shared" si="8"/>
        <v>0</v>
      </c>
      <c r="W10" s="264">
        <v>90000</v>
      </c>
      <c r="X10" s="264">
        <f t="shared" si="9"/>
        <v>0</v>
      </c>
    </row>
    <row r="11" spans="1:24">
      <c r="A11" s="262">
        <v>430</v>
      </c>
      <c r="B11" s="266" t="s">
        <v>546</v>
      </c>
      <c r="C11" s="264">
        <v>69000</v>
      </c>
      <c r="D11" s="264">
        <v>101428.57142857143</v>
      </c>
      <c r="E11" s="264">
        <v>69000</v>
      </c>
      <c r="F11" s="264">
        <f t="shared" si="0"/>
        <v>0</v>
      </c>
      <c r="G11" s="264">
        <v>101428.57142857143</v>
      </c>
      <c r="H11" s="264">
        <f t="shared" si="1"/>
        <v>0</v>
      </c>
      <c r="I11" s="264">
        <v>69000</v>
      </c>
      <c r="J11" s="264">
        <f t="shared" si="2"/>
        <v>0</v>
      </c>
      <c r="K11" s="264">
        <v>101428.57142857143</v>
      </c>
      <c r="L11" s="264">
        <f t="shared" si="3"/>
        <v>0</v>
      </c>
      <c r="M11" s="264">
        <v>69000</v>
      </c>
      <c r="N11" s="264">
        <f t="shared" si="4"/>
        <v>0</v>
      </c>
      <c r="O11" s="264">
        <v>102857.14285714287</v>
      </c>
      <c r="P11" s="264">
        <f t="shared" si="5"/>
        <v>1428.5714285714348</v>
      </c>
      <c r="Q11" s="264">
        <v>69000</v>
      </c>
      <c r="R11" s="264">
        <f t="shared" si="6"/>
        <v>0</v>
      </c>
      <c r="S11" s="264">
        <v>102857.14285714287</v>
      </c>
      <c r="T11" s="264">
        <f t="shared" si="7"/>
        <v>0</v>
      </c>
      <c r="U11" s="264">
        <v>69000</v>
      </c>
      <c r="V11" s="264">
        <f t="shared" si="8"/>
        <v>0</v>
      </c>
      <c r="W11" s="264">
        <v>102857.14285714287</v>
      </c>
      <c r="X11" s="264">
        <f t="shared" si="9"/>
        <v>0</v>
      </c>
    </row>
    <row r="12" spans="1:24">
      <c r="A12" s="265">
        <v>431</v>
      </c>
      <c r="B12" s="263" t="s">
        <v>824</v>
      </c>
      <c r="C12" s="264">
        <v>73200</v>
      </c>
      <c r="D12" s="264">
        <v>107428.57142857143</v>
      </c>
      <c r="E12" s="264">
        <v>73200</v>
      </c>
      <c r="F12" s="264">
        <f t="shared" si="0"/>
        <v>0</v>
      </c>
      <c r="G12" s="264">
        <v>107428.57142857143</v>
      </c>
      <c r="H12" s="264">
        <f t="shared" si="1"/>
        <v>0</v>
      </c>
      <c r="I12" s="264">
        <v>73200</v>
      </c>
      <c r="J12" s="264">
        <f t="shared" si="2"/>
        <v>0</v>
      </c>
      <c r="K12" s="264">
        <v>107428.57142857143</v>
      </c>
      <c r="L12" s="264">
        <f t="shared" si="3"/>
        <v>0</v>
      </c>
      <c r="M12" s="264">
        <v>73200</v>
      </c>
      <c r="N12" s="264">
        <f t="shared" si="4"/>
        <v>0</v>
      </c>
      <c r="O12" s="264">
        <v>108857.14285714287</v>
      </c>
      <c r="P12" s="264">
        <f t="shared" si="5"/>
        <v>1428.5714285714348</v>
      </c>
      <c r="Q12" s="264">
        <v>73200</v>
      </c>
      <c r="R12" s="264">
        <f t="shared" si="6"/>
        <v>0</v>
      </c>
      <c r="S12" s="264">
        <v>108857.14285714287</v>
      </c>
      <c r="T12" s="264">
        <f t="shared" si="7"/>
        <v>0</v>
      </c>
      <c r="U12" s="264">
        <v>73200</v>
      </c>
      <c r="V12" s="264">
        <f t="shared" si="8"/>
        <v>0</v>
      </c>
      <c r="W12" s="264">
        <v>108857.14285714287</v>
      </c>
      <c r="X12" s="264">
        <f t="shared" si="9"/>
        <v>0</v>
      </c>
    </row>
    <row r="13" spans="1:24">
      <c r="A13" s="265">
        <v>432</v>
      </c>
      <c r="B13" s="266" t="s">
        <v>793</v>
      </c>
      <c r="C13" s="264">
        <v>100000</v>
      </c>
      <c r="D13" s="264">
        <v>144285.71428571429</v>
      </c>
      <c r="E13" s="264">
        <v>100000</v>
      </c>
      <c r="F13" s="264">
        <f t="shared" si="0"/>
        <v>0</v>
      </c>
      <c r="G13" s="264">
        <v>144285.71428571429</v>
      </c>
      <c r="H13" s="264">
        <f t="shared" si="1"/>
        <v>0</v>
      </c>
      <c r="I13" s="264">
        <v>100000</v>
      </c>
      <c r="J13" s="264">
        <f t="shared" si="2"/>
        <v>0</v>
      </c>
      <c r="K13" s="264">
        <v>145714.28571428571</v>
      </c>
      <c r="L13" s="264">
        <f t="shared" si="3"/>
        <v>1428.5714285714203</v>
      </c>
      <c r="M13" s="264">
        <v>100000</v>
      </c>
      <c r="N13" s="264">
        <f t="shared" si="4"/>
        <v>0</v>
      </c>
      <c r="O13" s="264">
        <v>147142.85714285716</v>
      </c>
      <c r="P13" s="264">
        <f t="shared" si="5"/>
        <v>1428.5714285714494</v>
      </c>
      <c r="Q13" s="264">
        <v>100000</v>
      </c>
      <c r="R13" s="264">
        <f t="shared" si="6"/>
        <v>0</v>
      </c>
      <c r="S13" s="264">
        <v>147142.85714285716</v>
      </c>
      <c r="T13" s="264">
        <f t="shared" si="7"/>
        <v>0</v>
      </c>
      <c r="U13" s="264">
        <v>100000</v>
      </c>
      <c r="V13" s="264">
        <f t="shared" si="8"/>
        <v>0</v>
      </c>
      <c r="W13" s="264">
        <v>147142.85714285716</v>
      </c>
      <c r="X13" s="264">
        <f t="shared" si="9"/>
        <v>0</v>
      </c>
    </row>
    <row r="14" spans="1:24">
      <c r="A14" s="265">
        <v>433</v>
      </c>
      <c r="B14" s="263" t="s">
        <v>776</v>
      </c>
      <c r="C14" s="264">
        <v>78000</v>
      </c>
      <c r="D14" s="264">
        <v>112857.14285714287</v>
      </c>
      <c r="E14" s="264">
        <v>78000</v>
      </c>
      <c r="F14" s="264">
        <f t="shared" si="0"/>
        <v>0</v>
      </c>
      <c r="G14" s="264">
        <v>112857.14285714287</v>
      </c>
      <c r="H14" s="264">
        <f t="shared" si="1"/>
        <v>0</v>
      </c>
      <c r="I14" s="264">
        <v>78000</v>
      </c>
      <c r="J14" s="264">
        <f t="shared" si="2"/>
        <v>0</v>
      </c>
      <c r="K14" s="264">
        <v>114285.71428571429</v>
      </c>
      <c r="L14" s="264">
        <f t="shared" si="3"/>
        <v>1428.5714285714203</v>
      </c>
      <c r="M14" s="264">
        <v>78000</v>
      </c>
      <c r="N14" s="264">
        <f t="shared" si="4"/>
        <v>0</v>
      </c>
      <c r="O14" s="264">
        <v>115714.28571428572</v>
      </c>
      <c r="P14" s="264">
        <f t="shared" si="5"/>
        <v>1428.5714285714348</v>
      </c>
      <c r="Q14" s="264">
        <v>78000</v>
      </c>
      <c r="R14" s="264">
        <f t="shared" si="6"/>
        <v>0</v>
      </c>
      <c r="S14" s="264">
        <v>115714.28571428572</v>
      </c>
      <c r="T14" s="264">
        <f t="shared" si="7"/>
        <v>0</v>
      </c>
      <c r="U14" s="264">
        <v>78000</v>
      </c>
      <c r="V14" s="264">
        <f t="shared" si="8"/>
        <v>0</v>
      </c>
      <c r="W14" s="264">
        <v>115714.28571428572</v>
      </c>
      <c r="X14" s="264">
        <f t="shared" si="9"/>
        <v>0</v>
      </c>
    </row>
    <row r="15" spans="1:24">
      <c r="A15" s="265">
        <v>434</v>
      </c>
      <c r="B15" s="263" t="s">
        <v>547</v>
      </c>
      <c r="C15" s="264">
        <v>67500</v>
      </c>
      <c r="D15" s="264">
        <v>99285.71428571429</v>
      </c>
      <c r="E15" s="264">
        <v>67500</v>
      </c>
      <c r="F15" s="264">
        <f t="shared" si="0"/>
        <v>0</v>
      </c>
      <c r="G15" s="264">
        <v>99285.71428571429</v>
      </c>
      <c r="H15" s="264">
        <f t="shared" si="1"/>
        <v>0</v>
      </c>
      <c r="I15" s="264">
        <v>67500</v>
      </c>
      <c r="J15" s="264">
        <f t="shared" si="2"/>
        <v>0</v>
      </c>
      <c r="K15" s="264">
        <v>99285.71428571429</v>
      </c>
      <c r="L15" s="264">
        <f t="shared" si="3"/>
        <v>0</v>
      </c>
      <c r="M15" s="264">
        <v>67500</v>
      </c>
      <c r="N15" s="264">
        <f t="shared" si="4"/>
        <v>0</v>
      </c>
      <c r="O15" s="264">
        <v>100714.28571428572</v>
      </c>
      <c r="P15" s="264">
        <f t="shared" si="5"/>
        <v>1428.5714285714348</v>
      </c>
      <c r="Q15" s="264">
        <v>67500</v>
      </c>
      <c r="R15" s="264">
        <f t="shared" si="6"/>
        <v>0</v>
      </c>
      <c r="S15" s="264">
        <v>100714.28571428572</v>
      </c>
      <c r="T15" s="264">
        <f t="shared" si="7"/>
        <v>0</v>
      </c>
      <c r="U15" s="264">
        <v>67500</v>
      </c>
      <c r="V15" s="264">
        <f t="shared" si="8"/>
        <v>0</v>
      </c>
      <c r="W15" s="264">
        <v>100714.28571428572</v>
      </c>
      <c r="X15" s="264">
        <f t="shared" si="9"/>
        <v>0</v>
      </c>
    </row>
    <row r="16" spans="1:24">
      <c r="A16" s="265">
        <v>435</v>
      </c>
      <c r="B16" s="266" t="s">
        <v>548</v>
      </c>
      <c r="C16" s="264">
        <v>71000</v>
      </c>
      <c r="D16" s="264">
        <v>102857.14285714287</v>
      </c>
      <c r="E16" s="264">
        <v>71000</v>
      </c>
      <c r="F16" s="264">
        <f t="shared" si="0"/>
        <v>0</v>
      </c>
      <c r="G16" s="264">
        <v>102857.14285714287</v>
      </c>
      <c r="H16" s="264">
        <f t="shared" si="1"/>
        <v>0</v>
      </c>
      <c r="I16" s="264">
        <v>71000</v>
      </c>
      <c r="J16" s="264">
        <f t="shared" si="2"/>
        <v>0</v>
      </c>
      <c r="K16" s="264">
        <v>104285.71428571429</v>
      </c>
      <c r="L16" s="264">
        <f t="shared" si="3"/>
        <v>1428.5714285714203</v>
      </c>
      <c r="M16" s="264">
        <v>71000</v>
      </c>
      <c r="N16" s="264">
        <f t="shared" si="4"/>
        <v>0</v>
      </c>
      <c r="O16" s="264">
        <v>105714.28571428572</v>
      </c>
      <c r="P16" s="264">
        <f t="shared" si="5"/>
        <v>1428.5714285714348</v>
      </c>
      <c r="Q16" s="264">
        <v>71000</v>
      </c>
      <c r="R16" s="264">
        <f t="shared" si="6"/>
        <v>0</v>
      </c>
      <c r="S16" s="264">
        <v>105714.28571428572</v>
      </c>
      <c r="T16" s="264">
        <f t="shared" si="7"/>
        <v>0</v>
      </c>
      <c r="U16" s="264">
        <v>71000</v>
      </c>
      <c r="V16" s="264">
        <f t="shared" si="8"/>
        <v>0</v>
      </c>
      <c r="W16" s="264">
        <v>105714.28571428572</v>
      </c>
      <c r="X16" s="264">
        <f t="shared" si="9"/>
        <v>0</v>
      </c>
    </row>
    <row r="17" spans="1:24">
      <c r="A17" s="265">
        <v>436</v>
      </c>
      <c r="B17" s="263" t="s">
        <v>794</v>
      </c>
      <c r="C17" s="264">
        <v>92500</v>
      </c>
      <c r="D17" s="264">
        <v>133571.42857142858</v>
      </c>
      <c r="E17" s="264">
        <v>92500</v>
      </c>
      <c r="F17" s="264">
        <f t="shared" si="0"/>
        <v>0</v>
      </c>
      <c r="G17" s="264">
        <v>133571.42857142858</v>
      </c>
      <c r="H17" s="264">
        <f t="shared" si="1"/>
        <v>0</v>
      </c>
      <c r="I17" s="264">
        <v>92500</v>
      </c>
      <c r="J17" s="264">
        <f t="shared" si="2"/>
        <v>0</v>
      </c>
      <c r="K17" s="264">
        <v>135000</v>
      </c>
      <c r="L17" s="264">
        <f t="shared" si="3"/>
        <v>1428.5714285714203</v>
      </c>
      <c r="M17" s="264">
        <v>92500</v>
      </c>
      <c r="N17" s="264">
        <f t="shared" si="4"/>
        <v>0</v>
      </c>
      <c r="O17" s="264">
        <v>136428.57142857145</v>
      </c>
      <c r="P17" s="264">
        <f t="shared" si="5"/>
        <v>1428.5714285714494</v>
      </c>
      <c r="Q17" s="264">
        <v>92500</v>
      </c>
      <c r="R17" s="264">
        <f t="shared" si="6"/>
        <v>0</v>
      </c>
      <c r="S17" s="264">
        <v>136428.57142857145</v>
      </c>
      <c r="T17" s="264">
        <f t="shared" si="7"/>
        <v>0</v>
      </c>
      <c r="U17" s="264">
        <v>92500</v>
      </c>
      <c r="V17" s="264">
        <f t="shared" si="8"/>
        <v>0</v>
      </c>
      <c r="W17" s="264">
        <v>136428.57142857145</v>
      </c>
      <c r="X17" s="264">
        <f t="shared" si="9"/>
        <v>0</v>
      </c>
    </row>
    <row r="18" spans="1:24">
      <c r="A18" s="265">
        <v>437</v>
      </c>
      <c r="B18" s="266" t="s">
        <v>796</v>
      </c>
      <c r="C18" s="264">
        <v>82500</v>
      </c>
      <c r="D18" s="264">
        <v>119285.71428571429</v>
      </c>
      <c r="E18" s="264">
        <v>82500</v>
      </c>
      <c r="F18" s="264">
        <f t="shared" si="0"/>
        <v>0</v>
      </c>
      <c r="G18" s="264">
        <v>119285.71428571429</v>
      </c>
      <c r="H18" s="264">
        <f t="shared" si="1"/>
        <v>0</v>
      </c>
      <c r="I18" s="264">
        <v>82500</v>
      </c>
      <c r="J18" s="264">
        <f t="shared" si="2"/>
        <v>0</v>
      </c>
      <c r="K18" s="264">
        <v>120714.28571428572</v>
      </c>
      <c r="L18" s="264">
        <f t="shared" si="3"/>
        <v>1428.5714285714348</v>
      </c>
      <c r="M18" s="264">
        <v>82500</v>
      </c>
      <c r="N18" s="264">
        <f t="shared" si="4"/>
        <v>0</v>
      </c>
      <c r="O18" s="264">
        <v>122142.85714285714</v>
      </c>
      <c r="P18" s="264">
        <f t="shared" si="5"/>
        <v>1428.5714285714203</v>
      </c>
      <c r="Q18" s="264">
        <v>82500</v>
      </c>
      <c r="R18" s="264">
        <f t="shared" si="6"/>
        <v>0</v>
      </c>
      <c r="S18" s="264">
        <v>122142.85714285714</v>
      </c>
      <c r="T18" s="264">
        <f t="shared" si="7"/>
        <v>0</v>
      </c>
      <c r="U18" s="264">
        <v>82500</v>
      </c>
      <c r="V18" s="264">
        <f t="shared" si="8"/>
        <v>0</v>
      </c>
      <c r="W18" s="264">
        <v>122142.85714285714</v>
      </c>
      <c r="X18" s="264">
        <f t="shared" si="9"/>
        <v>0</v>
      </c>
    </row>
    <row r="19" spans="1:24">
      <c r="A19" s="265">
        <v>438</v>
      </c>
      <c r="B19" s="266" t="s">
        <v>795</v>
      </c>
      <c r="C19" s="264">
        <v>78000</v>
      </c>
      <c r="D19" s="264">
        <v>112857.14285714287</v>
      </c>
      <c r="E19" s="264">
        <v>78000</v>
      </c>
      <c r="F19" s="264">
        <f t="shared" si="0"/>
        <v>0</v>
      </c>
      <c r="G19" s="264">
        <v>112857.14285714287</v>
      </c>
      <c r="H19" s="264">
        <f t="shared" si="1"/>
        <v>0</v>
      </c>
      <c r="I19" s="264">
        <v>78000</v>
      </c>
      <c r="J19" s="264">
        <f t="shared" si="2"/>
        <v>0</v>
      </c>
      <c r="K19" s="264">
        <v>114285.71428571429</v>
      </c>
      <c r="L19" s="264">
        <f t="shared" si="3"/>
        <v>1428.5714285714203</v>
      </c>
      <c r="M19" s="264">
        <v>78000</v>
      </c>
      <c r="N19" s="264">
        <f t="shared" si="4"/>
        <v>0</v>
      </c>
      <c r="O19" s="264">
        <v>115714.28571428572</v>
      </c>
      <c r="P19" s="264">
        <f t="shared" si="5"/>
        <v>1428.5714285714348</v>
      </c>
      <c r="Q19" s="264">
        <v>78000</v>
      </c>
      <c r="R19" s="264">
        <f t="shared" si="6"/>
        <v>0</v>
      </c>
      <c r="S19" s="264">
        <v>115714.28571428572</v>
      </c>
      <c r="T19" s="264">
        <f t="shared" si="7"/>
        <v>0</v>
      </c>
      <c r="U19" s="264">
        <v>78000</v>
      </c>
      <c r="V19" s="264">
        <f t="shared" si="8"/>
        <v>0</v>
      </c>
      <c r="W19" s="264">
        <v>115714.28571428572</v>
      </c>
      <c r="X19" s="264">
        <f t="shared" si="9"/>
        <v>0</v>
      </c>
    </row>
    <row r="20" spans="1:24">
      <c r="A20" s="265">
        <v>439</v>
      </c>
      <c r="B20" s="263" t="s">
        <v>797</v>
      </c>
      <c r="C20" s="264">
        <v>70950</v>
      </c>
      <c r="D20" s="264">
        <v>102785.71428571429</v>
      </c>
      <c r="E20" s="264">
        <v>70950</v>
      </c>
      <c r="F20" s="264">
        <f t="shared" si="0"/>
        <v>0</v>
      </c>
      <c r="G20" s="264">
        <v>102785.71428571429</v>
      </c>
      <c r="H20" s="264">
        <f t="shared" si="1"/>
        <v>0</v>
      </c>
      <c r="I20" s="264">
        <v>70950</v>
      </c>
      <c r="J20" s="264">
        <f t="shared" si="2"/>
        <v>0</v>
      </c>
      <c r="K20" s="264">
        <v>104214.28571428572</v>
      </c>
      <c r="L20" s="264">
        <f t="shared" si="3"/>
        <v>1428.5714285714348</v>
      </c>
      <c r="M20" s="264">
        <v>70950</v>
      </c>
      <c r="N20" s="264">
        <f t="shared" si="4"/>
        <v>0</v>
      </c>
      <c r="O20" s="264">
        <v>105642.85714285714</v>
      </c>
      <c r="P20" s="264">
        <f t="shared" si="5"/>
        <v>1428.5714285714203</v>
      </c>
      <c r="Q20" s="264">
        <v>70950</v>
      </c>
      <c r="R20" s="264">
        <f t="shared" si="6"/>
        <v>0</v>
      </c>
      <c r="S20" s="264">
        <v>102785.71428571429</v>
      </c>
      <c r="T20" s="264">
        <f t="shared" si="7"/>
        <v>-2857.1428571428551</v>
      </c>
      <c r="U20" s="264">
        <v>70950</v>
      </c>
      <c r="V20" s="264">
        <f t="shared" si="8"/>
        <v>0</v>
      </c>
      <c r="W20" s="264">
        <v>102785.71428571429</v>
      </c>
      <c r="X20" s="264">
        <f t="shared" si="9"/>
        <v>0</v>
      </c>
    </row>
    <row r="21" spans="1:24">
      <c r="A21" s="262">
        <v>440</v>
      </c>
      <c r="B21" s="266" t="s">
        <v>798</v>
      </c>
      <c r="C21" s="264">
        <v>70950</v>
      </c>
      <c r="D21" s="264">
        <v>102785.71428571429</v>
      </c>
      <c r="E21" s="264">
        <v>70950</v>
      </c>
      <c r="F21" s="264">
        <f t="shared" si="0"/>
        <v>0</v>
      </c>
      <c r="G21" s="264">
        <v>102785.71428571429</v>
      </c>
      <c r="H21" s="264">
        <f t="shared" si="1"/>
        <v>0</v>
      </c>
      <c r="I21" s="264">
        <v>70950</v>
      </c>
      <c r="J21" s="264">
        <f t="shared" si="2"/>
        <v>0</v>
      </c>
      <c r="K21" s="264">
        <v>104214.28571428572</v>
      </c>
      <c r="L21" s="264">
        <f t="shared" si="3"/>
        <v>1428.5714285714348</v>
      </c>
      <c r="M21" s="264">
        <v>70950</v>
      </c>
      <c r="N21" s="264">
        <f t="shared" si="4"/>
        <v>0</v>
      </c>
      <c r="O21" s="264">
        <v>105642.85714285714</v>
      </c>
      <c r="P21" s="264">
        <f t="shared" si="5"/>
        <v>1428.5714285714203</v>
      </c>
      <c r="Q21" s="264">
        <v>70950</v>
      </c>
      <c r="R21" s="264">
        <f t="shared" si="6"/>
        <v>0</v>
      </c>
      <c r="S21" s="264">
        <v>102785.71428571429</v>
      </c>
      <c r="T21" s="264">
        <f t="shared" si="7"/>
        <v>-2857.1428571428551</v>
      </c>
      <c r="U21" s="264">
        <v>70950</v>
      </c>
      <c r="V21" s="264">
        <f t="shared" si="8"/>
        <v>0</v>
      </c>
      <c r="W21" s="264">
        <v>102785.71428571429</v>
      </c>
      <c r="X21" s="264">
        <f t="shared" si="9"/>
        <v>0</v>
      </c>
    </row>
    <row r="22" spans="1:24">
      <c r="A22" s="265">
        <v>441</v>
      </c>
      <c r="B22" s="263" t="s">
        <v>549</v>
      </c>
      <c r="C22" s="264">
        <v>72000</v>
      </c>
      <c r="D22" s="264">
        <v>104285.71428571429</v>
      </c>
      <c r="E22" s="264">
        <v>72000</v>
      </c>
      <c r="F22" s="264">
        <f t="shared" si="0"/>
        <v>0</v>
      </c>
      <c r="G22" s="264">
        <v>104285.71428571429</v>
      </c>
      <c r="H22" s="264">
        <f t="shared" si="1"/>
        <v>0</v>
      </c>
      <c r="I22" s="264">
        <v>72000</v>
      </c>
      <c r="J22" s="264">
        <f t="shared" si="2"/>
        <v>0</v>
      </c>
      <c r="K22" s="264">
        <v>105714.28571428572</v>
      </c>
      <c r="L22" s="264">
        <f t="shared" si="3"/>
        <v>1428.5714285714348</v>
      </c>
      <c r="M22" s="264">
        <v>72000</v>
      </c>
      <c r="N22" s="264">
        <f t="shared" si="4"/>
        <v>0</v>
      </c>
      <c r="O22" s="264">
        <v>107142.85714285714</v>
      </c>
      <c r="P22" s="264">
        <f t="shared" si="5"/>
        <v>1428.5714285714203</v>
      </c>
      <c r="Q22" s="264">
        <v>72000</v>
      </c>
      <c r="R22" s="264">
        <f t="shared" si="6"/>
        <v>0</v>
      </c>
      <c r="S22" s="264">
        <v>107142.85714285714</v>
      </c>
      <c r="T22" s="264">
        <f t="shared" si="7"/>
        <v>0</v>
      </c>
      <c r="U22" s="264">
        <v>72000</v>
      </c>
      <c r="V22" s="264">
        <f t="shared" si="8"/>
        <v>0</v>
      </c>
      <c r="W22" s="264">
        <v>107142.85714285714</v>
      </c>
      <c r="X22" s="264">
        <f t="shared" si="9"/>
        <v>0</v>
      </c>
    </row>
    <row r="23" spans="1:24">
      <c r="A23" s="265">
        <v>442</v>
      </c>
      <c r="B23" s="263" t="s">
        <v>550</v>
      </c>
      <c r="C23" s="264">
        <v>65000</v>
      </c>
      <c r="D23" s="264">
        <v>94285.71428571429</v>
      </c>
      <c r="E23" s="264">
        <v>65000</v>
      </c>
      <c r="F23" s="264">
        <f t="shared" si="0"/>
        <v>0</v>
      </c>
      <c r="G23" s="264">
        <v>94285.71428571429</v>
      </c>
      <c r="H23" s="264">
        <f t="shared" si="1"/>
        <v>0</v>
      </c>
      <c r="I23" s="264">
        <v>65000</v>
      </c>
      <c r="J23" s="264">
        <f t="shared" si="2"/>
        <v>0</v>
      </c>
      <c r="K23" s="264">
        <v>95714.285714285725</v>
      </c>
      <c r="L23" s="264">
        <f t="shared" si="3"/>
        <v>1428.5714285714348</v>
      </c>
      <c r="M23" s="264">
        <v>65000</v>
      </c>
      <c r="N23" s="264">
        <f t="shared" si="4"/>
        <v>0</v>
      </c>
      <c r="O23" s="264">
        <v>97142.857142857145</v>
      </c>
      <c r="P23" s="264">
        <f t="shared" si="5"/>
        <v>1428.5714285714203</v>
      </c>
      <c r="Q23" s="264">
        <v>65000</v>
      </c>
      <c r="R23" s="264">
        <f t="shared" si="6"/>
        <v>0</v>
      </c>
      <c r="S23" s="264">
        <v>97142.857142857145</v>
      </c>
      <c r="T23" s="264">
        <f t="shared" si="7"/>
        <v>0</v>
      </c>
      <c r="U23" s="264">
        <v>65000</v>
      </c>
      <c r="V23" s="264">
        <f t="shared" si="8"/>
        <v>0</v>
      </c>
      <c r="W23" s="264">
        <v>97142.857142857145</v>
      </c>
      <c r="X23" s="264">
        <f t="shared" si="9"/>
        <v>0</v>
      </c>
    </row>
    <row r="24" spans="1:24">
      <c r="A24" s="265">
        <v>443</v>
      </c>
      <c r="B24" s="263" t="s">
        <v>551</v>
      </c>
      <c r="C24" s="264">
        <v>70550</v>
      </c>
      <c r="D24" s="264">
        <v>102214.28571428572</v>
      </c>
      <c r="E24" s="264">
        <v>70550</v>
      </c>
      <c r="F24" s="264">
        <f t="shared" si="0"/>
        <v>0</v>
      </c>
      <c r="G24" s="264">
        <v>102214.28571428572</v>
      </c>
      <c r="H24" s="264">
        <f t="shared" si="1"/>
        <v>0</v>
      </c>
      <c r="I24" s="264">
        <v>70550</v>
      </c>
      <c r="J24" s="264">
        <f t="shared" si="2"/>
        <v>0</v>
      </c>
      <c r="K24" s="264">
        <v>103642.85714285714</v>
      </c>
      <c r="L24" s="264">
        <f t="shared" si="3"/>
        <v>1428.5714285714203</v>
      </c>
      <c r="M24" s="264">
        <v>70550</v>
      </c>
      <c r="N24" s="264">
        <f t="shared" si="4"/>
        <v>0</v>
      </c>
      <c r="O24" s="264">
        <v>105071.42857142858</v>
      </c>
      <c r="P24" s="264">
        <f t="shared" si="5"/>
        <v>1428.5714285714348</v>
      </c>
      <c r="Q24" s="264">
        <v>70550</v>
      </c>
      <c r="R24" s="264">
        <f t="shared" si="6"/>
        <v>0</v>
      </c>
      <c r="S24" s="264">
        <v>105071.42857142858</v>
      </c>
      <c r="T24" s="264">
        <f t="shared" si="7"/>
        <v>0</v>
      </c>
      <c r="U24" s="264">
        <v>70550</v>
      </c>
      <c r="V24" s="264">
        <f t="shared" si="8"/>
        <v>0</v>
      </c>
      <c r="W24" s="264">
        <v>105071.42857142858</v>
      </c>
      <c r="X24" s="264">
        <f t="shared" si="9"/>
        <v>0</v>
      </c>
    </row>
    <row r="25" spans="1:24">
      <c r="A25" s="265">
        <v>444</v>
      </c>
      <c r="B25" s="263" t="s">
        <v>552</v>
      </c>
      <c r="C25" s="264">
        <v>78950</v>
      </c>
      <c r="D25" s="264">
        <v>114214.28571428572</v>
      </c>
      <c r="E25" s="264">
        <v>78950</v>
      </c>
      <c r="F25" s="264">
        <f t="shared" si="0"/>
        <v>0</v>
      </c>
      <c r="G25" s="264">
        <v>114214.28571428572</v>
      </c>
      <c r="H25" s="264">
        <f t="shared" si="1"/>
        <v>0</v>
      </c>
      <c r="I25" s="264">
        <v>78950</v>
      </c>
      <c r="J25" s="264">
        <f t="shared" si="2"/>
        <v>0</v>
      </c>
      <c r="K25" s="264">
        <v>115642.85714285714</v>
      </c>
      <c r="L25" s="264">
        <f t="shared" si="3"/>
        <v>1428.5714285714203</v>
      </c>
      <c r="M25" s="264">
        <v>78950</v>
      </c>
      <c r="N25" s="264">
        <f t="shared" si="4"/>
        <v>0</v>
      </c>
      <c r="O25" s="264">
        <v>117071.42857142858</v>
      </c>
      <c r="P25" s="264">
        <f t="shared" si="5"/>
        <v>1428.5714285714348</v>
      </c>
      <c r="Q25" s="264">
        <v>78950</v>
      </c>
      <c r="R25" s="264">
        <f t="shared" si="6"/>
        <v>0</v>
      </c>
      <c r="S25" s="264">
        <v>117071.42857142858</v>
      </c>
      <c r="T25" s="264">
        <f t="shared" si="7"/>
        <v>0</v>
      </c>
      <c r="U25" s="264">
        <v>78950</v>
      </c>
      <c r="V25" s="264">
        <f t="shared" si="8"/>
        <v>0</v>
      </c>
      <c r="W25" s="264">
        <v>117071.42857142858</v>
      </c>
      <c r="X25" s="264">
        <f t="shared" si="9"/>
        <v>0</v>
      </c>
    </row>
    <row r="26" spans="1:24">
      <c r="A26" s="262">
        <v>445</v>
      </c>
      <c r="B26" s="266" t="s">
        <v>553</v>
      </c>
      <c r="C26" s="264">
        <v>67500</v>
      </c>
      <c r="D26" s="264">
        <v>97857.14285714287</v>
      </c>
      <c r="E26" s="264">
        <v>67500</v>
      </c>
      <c r="F26" s="264">
        <f t="shared" si="0"/>
        <v>0</v>
      </c>
      <c r="G26" s="264">
        <v>97857.14285714287</v>
      </c>
      <c r="H26" s="264">
        <f t="shared" si="1"/>
        <v>0</v>
      </c>
      <c r="I26" s="264">
        <v>67500</v>
      </c>
      <c r="J26" s="264">
        <f t="shared" si="2"/>
        <v>0</v>
      </c>
      <c r="K26" s="264">
        <v>99285.71428571429</v>
      </c>
      <c r="L26" s="264">
        <f t="shared" si="3"/>
        <v>1428.5714285714203</v>
      </c>
      <c r="M26" s="264">
        <v>67500</v>
      </c>
      <c r="N26" s="264">
        <f t="shared" si="4"/>
        <v>0</v>
      </c>
      <c r="O26" s="264">
        <v>100714.28571428572</v>
      </c>
      <c r="P26" s="264">
        <f t="shared" si="5"/>
        <v>1428.5714285714348</v>
      </c>
      <c r="Q26" s="264">
        <v>67500</v>
      </c>
      <c r="R26" s="264">
        <f t="shared" si="6"/>
        <v>0</v>
      </c>
      <c r="S26" s="264">
        <v>100714.28571428572</v>
      </c>
      <c r="T26" s="264">
        <f t="shared" si="7"/>
        <v>0</v>
      </c>
      <c r="U26" s="264">
        <v>67500</v>
      </c>
      <c r="V26" s="264">
        <f t="shared" si="8"/>
        <v>0</v>
      </c>
      <c r="W26" s="264">
        <v>100714.28571428572</v>
      </c>
      <c r="X26" s="264">
        <f t="shared" si="9"/>
        <v>0</v>
      </c>
    </row>
    <row r="27" spans="1:24">
      <c r="A27" s="265">
        <v>446</v>
      </c>
      <c r="B27" s="266" t="s">
        <v>554</v>
      </c>
      <c r="C27" s="264">
        <v>65000</v>
      </c>
      <c r="D27" s="264">
        <v>94285.71428571429</v>
      </c>
      <c r="E27" s="264">
        <v>65000</v>
      </c>
      <c r="F27" s="264">
        <f t="shared" si="0"/>
        <v>0</v>
      </c>
      <c r="G27" s="264">
        <v>94285.71428571429</v>
      </c>
      <c r="H27" s="264">
        <f t="shared" si="1"/>
        <v>0</v>
      </c>
      <c r="I27" s="264">
        <v>65000</v>
      </c>
      <c r="J27" s="264">
        <f t="shared" si="2"/>
        <v>0</v>
      </c>
      <c r="K27" s="264">
        <v>95714.285714285725</v>
      </c>
      <c r="L27" s="264">
        <f t="shared" si="3"/>
        <v>1428.5714285714348</v>
      </c>
      <c r="M27" s="264">
        <v>65000</v>
      </c>
      <c r="N27" s="264">
        <f t="shared" si="4"/>
        <v>0</v>
      </c>
      <c r="O27" s="264">
        <v>97142.857142857145</v>
      </c>
      <c r="P27" s="264">
        <f t="shared" si="5"/>
        <v>1428.5714285714203</v>
      </c>
      <c r="Q27" s="264">
        <v>65000</v>
      </c>
      <c r="R27" s="264">
        <f t="shared" si="6"/>
        <v>0</v>
      </c>
      <c r="S27" s="264">
        <v>97142.857142857145</v>
      </c>
      <c r="T27" s="264">
        <f t="shared" si="7"/>
        <v>0</v>
      </c>
      <c r="U27" s="264">
        <v>65000</v>
      </c>
      <c r="V27" s="264">
        <f t="shared" si="8"/>
        <v>0</v>
      </c>
      <c r="W27" s="264">
        <v>97142.857142857145</v>
      </c>
      <c r="X27" s="264">
        <f t="shared" si="9"/>
        <v>0</v>
      </c>
    </row>
    <row r="28" spans="1:24">
      <c r="A28" s="265">
        <v>447</v>
      </c>
      <c r="B28" s="263" t="s">
        <v>827</v>
      </c>
      <c r="C28" s="264">
        <v>71000</v>
      </c>
      <c r="D28" s="264">
        <v>102857.14285714287</v>
      </c>
      <c r="E28" s="264">
        <v>71000</v>
      </c>
      <c r="F28" s="264">
        <f t="shared" si="0"/>
        <v>0</v>
      </c>
      <c r="G28" s="264">
        <v>102857.14285714287</v>
      </c>
      <c r="H28" s="264">
        <f t="shared" si="1"/>
        <v>0</v>
      </c>
      <c r="I28" s="264">
        <v>71000</v>
      </c>
      <c r="J28" s="264">
        <f t="shared" si="2"/>
        <v>0</v>
      </c>
      <c r="K28" s="264">
        <v>104285.71428571429</v>
      </c>
      <c r="L28" s="264">
        <f t="shared" si="3"/>
        <v>1428.5714285714203</v>
      </c>
      <c r="M28" s="264">
        <v>71000</v>
      </c>
      <c r="N28" s="264">
        <f t="shared" si="4"/>
        <v>0</v>
      </c>
      <c r="O28" s="264">
        <v>105714.28571428572</v>
      </c>
      <c r="P28" s="264">
        <f t="shared" si="5"/>
        <v>1428.5714285714348</v>
      </c>
      <c r="Q28" s="264">
        <v>71000</v>
      </c>
      <c r="R28" s="264">
        <f t="shared" si="6"/>
        <v>0</v>
      </c>
      <c r="S28" s="264">
        <v>105714.28571428572</v>
      </c>
      <c r="T28" s="264">
        <f t="shared" si="7"/>
        <v>0</v>
      </c>
      <c r="U28" s="264">
        <v>71000</v>
      </c>
      <c r="V28" s="264">
        <f t="shared" si="8"/>
        <v>0</v>
      </c>
      <c r="W28" s="264">
        <v>105714.28571428572</v>
      </c>
      <c r="X28" s="264">
        <f t="shared" si="9"/>
        <v>0</v>
      </c>
    </row>
    <row r="29" spans="1:24">
      <c r="A29" s="265">
        <v>448</v>
      </c>
      <c r="B29" s="266" t="s">
        <v>555</v>
      </c>
      <c r="C29" s="264">
        <v>78550</v>
      </c>
      <c r="D29" s="264">
        <v>113642.85714285714</v>
      </c>
      <c r="E29" s="264">
        <v>78550</v>
      </c>
      <c r="F29" s="264">
        <f t="shared" si="0"/>
        <v>0</v>
      </c>
      <c r="G29" s="264">
        <v>113642.85714285714</v>
      </c>
      <c r="H29" s="264">
        <f t="shared" si="1"/>
        <v>0</v>
      </c>
      <c r="I29" s="264">
        <v>78550</v>
      </c>
      <c r="J29" s="264">
        <f t="shared" si="2"/>
        <v>0</v>
      </c>
      <c r="K29" s="264">
        <v>115071.42857142858</v>
      </c>
      <c r="L29" s="264">
        <f t="shared" si="3"/>
        <v>1428.5714285714348</v>
      </c>
      <c r="M29" s="264">
        <v>78550</v>
      </c>
      <c r="N29" s="264">
        <f t="shared" si="4"/>
        <v>0</v>
      </c>
      <c r="O29" s="264">
        <v>116500.00000000001</v>
      </c>
      <c r="P29" s="264">
        <f t="shared" si="5"/>
        <v>1428.5714285714348</v>
      </c>
      <c r="Q29" s="264">
        <v>78550</v>
      </c>
      <c r="R29" s="264">
        <f t="shared" si="6"/>
        <v>0</v>
      </c>
      <c r="S29" s="264">
        <v>116500.00000000001</v>
      </c>
      <c r="T29" s="264">
        <f t="shared" si="7"/>
        <v>0</v>
      </c>
      <c r="U29" s="264">
        <v>78550</v>
      </c>
      <c r="V29" s="264">
        <f t="shared" si="8"/>
        <v>0</v>
      </c>
      <c r="W29" s="264">
        <v>116500.00000000001</v>
      </c>
      <c r="X29" s="264">
        <f t="shared" si="9"/>
        <v>0</v>
      </c>
    </row>
    <row r="30" spans="1:24">
      <c r="A30" s="265">
        <v>449</v>
      </c>
      <c r="B30" s="263" t="s">
        <v>789</v>
      </c>
      <c r="C30" s="264">
        <v>80950</v>
      </c>
      <c r="D30" s="264">
        <v>117071.42857142858</v>
      </c>
      <c r="E30" s="264">
        <v>80950</v>
      </c>
      <c r="F30" s="264">
        <f t="shared" si="0"/>
        <v>0</v>
      </c>
      <c r="G30" s="264">
        <v>117071.42857142858</v>
      </c>
      <c r="H30" s="264">
        <f t="shared" si="1"/>
        <v>0</v>
      </c>
      <c r="I30" s="264">
        <v>80950</v>
      </c>
      <c r="J30" s="264">
        <f t="shared" si="2"/>
        <v>0</v>
      </c>
      <c r="K30" s="264">
        <v>118500.00000000001</v>
      </c>
      <c r="L30" s="264">
        <f t="shared" si="3"/>
        <v>1428.5714285714348</v>
      </c>
      <c r="M30" s="264">
        <v>80950</v>
      </c>
      <c r="N30" s="264">
        <f t="shared" si="4"/>
        <v>0</v>
      </c>
      <c r="O30" s="264">
        <v>119928.57142857143</v>
      </c>
      <c r="P30" s="264">
        <f t="shared" si="5"/>
        <v>1428.5714285714203</v>
      </c>
      <c r="Q30" s="264">
        <v>80950</v>
      </c>
      <c r="R30" s="264">
        <f t="shared" si="6"/>
        <v>0</v>
      </c>
      <c r="S30" s="264">
        <v>119928.57142857143</v>
      </c>
      <c r="T30" s="264">
        <f t="shared" si="7"/>
        <v>0</v>
      </c>
      <c r="U30" s="264">
        <v>80950</v>
      </c>
      <c r="V30" s="264">
        <f t="shared" si="8"/>
        <v>0</v>
      </c>
      <c r="W30" s="264">
        <v>119928.57142857143</v>
      </c>
      <c r="X30" s="264">
        <f t="shared" si="9"/>
        <v>0</v>
      </c>
    </row>
    <row r="31" spans="1:24">
      <c r="A31" s="265">
        <v>450</v>
      </c>
      <c r="B31" s="263" t="s">
        <v>799</v>
      </c>
      <c r="C31" s="264">
        <v>59000</v>
      </c>
      <c r="D31" s="264">
        <v>87142.857142857145</v>
      </c>
      <c r="E31" s="264">
        <v>59000</v>
      </c>
      <c r="F31" s="264">
        <f t="shared" si="0"/>
        <v>0</v>
      </c>
      <c r="G31" s="264">
        <v>87142.857142857145</v>
      </c>
      <c r="H31" s="264">
        <f t="shared" si="1"/>
        <v>0</v>
      </c>
      <c r="I31" s="264">
        <v>59000</v>
      </c>
      <c r="J31" s="264">
        <f t="shared" si="2"/>
        <v>0</v>
      </c>
      <c r="K31" s="264">
        <v>87142.857142857145</v>
      </c>
      <c r="L31" s="264">
        <f t="shared" si="3"/>
        <v>0</v>
      </c>
      <c r="M31" s="264">
        <v>59000</v>
      </c>
      <c r="N31" s="264">
        <f t="shared" si="4"/>
        <v>0</v>
      </c>
      <c r="O31" s="264">
        <v>88571.42857142858</v>
      </c>
      <c r="P31" s="264">
        <f t="shared" si="5"/>
        <v>1428.5714285714348</v>
      </c>
      <c r="Q31" s="264">
        <v>59000</v>
      </c>
      <c r="R31" s="264">
        <f t="shared" si="6"/>
        <v>0</v>
      </c>
      <c r="S31" s="264">
        <v>88571.42857142858</v>
      </c>
      <c r="T31" s="264">
        <f t="shared" si="7"/>
        <v>0</v>
      </c>
      <c r="U31" s="264">
        <v>59000</v>
      </c>
      <c r="V31" s="264">
        <f t="shared" si="8"/>
        <v>0</v>
      </c>
      <c r="W31" s="264">
        <v>88571.42857142858</v>
      </c>
      <c r="X31" s="264">
        <f t="shared" si="9"/>
        <v>0</v>
      </c>
    </row>
    <row r="32" spans="1:24">
      <c r="A32" s="262">
        <v>451</v>
      </c>
      <c r="B32" s="266" t="s">
        <v>556</v>
      </c>
      <c r="C32" s="264">
        <v>0</v>
      </c>
      <c r="D32" s="264">
        <v>1428.5714285714287</v>
      </c>
      <c r="E32" s="264">
        <v>63350</v>
      </c>
      <c r="F32" s="264">
        <f t="shared" si="0"/>
        <v>63350</v>
      </c>
      <c r="G32" s="264">
        <v>91928.571428571435</v>
      </c>
      <c r="H32" s="264">
        <f t="shared" si="1"/>
        <v>90500</v>
      </c>
      <c r="I32" s="264">
        <v>63350</v>
      </c>
      <c r="J32" s="264">
        <f t="shared" si="2"/>
        <v>0</v>
      </c>
      <c r="K32" s="264">
        <v>93357.14285714287</v>
      </c>
      <c r="L32" s="264">
        <f t="shared" si="3"/>
        <v>1428.5714285714348</v>
      </c>
      <c r="M32" s="264">
        <v>63350</v>
      </c>
      <c r="N32" s="264">
        <f t="shared" si="4"/>
        <v>0</v>
      </c>
      <c r="O32" s="264">
        <v>94785.71428571429</v>
      </c>
      <c r="P32" s="264">
        <f t="shared" si="5"/>
        <v>1428.5714285714203</v>
      </c>
      <c r="Q32" s="264">
        <v>63350</v>
      </c>
      <c r="R32" s="264">
        <f t="shared" si="6"/>
        <v>0</v>
      </c>
      <c r="S32" s="264">
        <v>94785.71428571429</v>
      </c>
      <c r="T32" s="264">
        <f t="shared" si="7"/>
        <v>0</v>
      </c>
      <c r="U32" s="264">
        <v>63350</v>
      </c>
      <c r="V32" s="264">
        <f t="shared" si="8"/>
        <v>0</v>
      </c>
      <c r="W32" s="264">
        <v>94785.71428571429</v>
      </c>
      <c r="X32" s="264">
        <f t="shared" si="9"/>
        <v>0</v>
      </c>
    </row>
    <row r="33" spans="1:24">
      <c r="A33" s="265">
        <v>452</v>
      </c>
      <c r="B33" s="266" t="s">
        <v>558</v>
      </c>
      <c r="C33" s="264">
        <v>52850</v>
      </c>
      <c r="D33" s="264">
        <v>78357.142857142855</v>
      </c>
      <c r="E33" s="264">
        <v>52850</v>
      </c>
      <c r="F33" s="264">
        <f t="shared" si="0"/>
        <v>0</v>
      </c>
      <c r="G33" s="264">
        <v>78357.142857142855</v>
      </c>
      <c r="H33" s="264">
        <f t="shared" si="1"/>
        <v>0</v>
      </c>
      <c r="I33" s="264">
        <v>52850</v>
      </c>
      <c r="J33" s="264">
        <f t="shared" si="2"/>
        <v>0</v>
      </c>
      <c r="K33" s="264">
        <v>78357.142857142855</v>
      </c>
      <c r="L33" s="264">
        <f t="shared" si="3"/>
        <v>0</v>
      </c>
      <c r="M33" s="264">
        <v>52850</v>
      </c>
      <c r="N33" s="264">
        <f t="shared" si="4"/>
        <v>0</v>
      </c>
      <c r="O33" s="264">
        <v>79785.71428571429</v>
      </c>
      <c r="P33" s="264">
        <f t="shared" si="5"/>
        <v>1428.5714285714348</v>
      </c>
      <c r="Q33" s="264">
        <v>52850</v>
      </c>
      <c r="R33" s="264">
        <f t="shared" si="6"/>
        <v>0</v>
      </c>
      <c r="S33" s="264">
        <v>79785.71428571429</v>
      </c>
      <c r="T33" s="264">
        <f t="shared" si="7"/>
        <v>0</v>
      </c>
      <c r="U33" s="264">
        <v>52850</v>
      </c>
      <c r="V33" s="264">
        <f t="shared" si="8"/>
        <v>0</v>
      </c>
      <c r="W33" s="264">
        <v>79785.71428571429</v>
      </c>
      <c r="X33" s="264">
        <f t="shared" si="9"/>
        <v>0</v>
      </c>
    </row>
    <row r="34" spans="1:24">
      <c r="A34" s="265">
        <v>453</v>
      </c>
      <c r="B34" s="263" t="s">
        <v>559</v>
      </c>
      <c r="C34" s="264">
        <v>71350</v>
      </c>
      <c r="D34" s="264">
        <v>103357.14285714287</v>
      </c>
      <c r="E34" s="264">
        <v>71350</v>
      </c>
      <c r="F34" s="264">
        <f t="shared" si="0"/>
        <v>0</v>
      </c>
      <c r="G34" s="264">
        <v>103357.14285714287</v>
      </c>
      <c r="H34" s="264">
        <f t="shared" si="1"/>
        <v>0</v>
      </c>
      <c r="I34" s="264">
        <v>71350</v>
      </c>
      <c r="J34" s="264">
        <f t="shared" si="2"/>
        <v>0</v>
      </c>
      <c r="K34" s="264">
        <v>103357.14285714287</v>
      </c>
      <c r="L34" s="264">
        <f t="shared" si="3"/>
        <v>0</v>
      </c>
      <c r="M34" s="264">
        <v>71350</v>
      </c>
      <c r="N34" s="264">
        <f t="shared" si="4"/>
        <v>0</v>
      </c>
      <c r="O34" s="264">
        <v>104785.71428571429</v>
      </c>
      <c r="P34" s="264">
        <f t="shared" si="5"/>
        <v>1428.5714285714203</v>
      </c>
      <c r="Q34" s="264">
        <v>71350</v>
      </c>
      <c r="R34" s="264">
        <f t="shared" si="6"/>
        <v>0</v>
      </c>
      <c r="S34" s="264">
        <v>104785.71428571429</v>
      </c>
      <c r="T34" s="264">
        <f t="shared" si="7"/>
        <v>0</v>
      </c>
      <c r="U34" s="264">
        <v>71350</v>
      </c>
      <c r="V34" s="264">
        <f t="shared" si="8"/>
        <v>0</v>
      </c>
      <c r="W34" s="264">
        <v>103357.14285714287</v>
      </c>
      <c r="X34" s="264">
        <f t="shared" si="9"/>
        <v>-1428.5714285714203</v>
      </c>
    </row>
    <row r="35" spans="1:24">
      <c r="A35" s="265">
        <v>454</v>
      </c>
      <c r="B35" s="263" t="s">
        <v>800</v>
      </c>
      <c r="C35" s="264">
        <v>42250</v>
      </c>
      <c r="D35" s="264">
        <v>61785.71428571429</v>
      </c>
      <c r="E35" s="264">
        <v>42250</v>
      </c>
      <c r="F35" s="264">
        <f t="shared" si="0"/>
        <v>0</v>
      </c>
      <c r="G35" s="264">
        <v>61785.71428571429</v>
      </c>
      <c r="H35" s="264">
        <f t="shared" si="1"/>
        <v>0</v>
      </c>
      <c r="I35" s="264">
        <v>42250</v>
      </c>
      <c r="J35" s="264">
        <f t="shared" si="2"/>
        <v>0</v>
      </c>
      <c r="K35" s="264">
        <v>61785.71428571429</v>
      </c>
      <c r="L35" s="264">
        <f t="shared" si="3"/>
        <v>0</v>
      </c>
      <c r="M35" s="264">
        <v>42250</v>
      </c>
      <c r="N35" s="264">
        <f t="shared" si="4"/>
        <v>0</v>
      </c>
      <c r="O35" s="264">
        <v>63214.285714285717</v>
      </c>
      <c r="P35" s="264">
        <f t="shared" si="5"/>
        <v>1428.5714285714275</v>
      </c>
      <c r="Q35" s="264">
        <v>42250</v>
      </c>
      <c r="R35" s="264">
        <f t="shared" si="6"/>
        <v>0</v>
      </c>
      <c r="S35" s="264">
        <v>63214.285714285717</v>
      </c>
      <c r="T35" s="264">
        <f t="shared" si="7"/>
        <v>0</v>
      </c>
      <c r="U35" s="264">
        <v>42250</v>
      </c>
      <c r="V35" s="264">
        <f t="shared" si="8"/>
        <v>0</v>
      </c>
      <c r="W35" s="264">
        <v>61785.71428571429</v>
      </c>
      <c r="X35" s="264">
        <f t="shared" si="9"/>
        <v>-1428.5714285714275</v>
      </c>
    </row>
    <row r="36" spans="1:24">
      <c r="A36" s="265">
        <v>455</v>
      </c>
      <c r="B36" s="263" t="s">
        <v>560</v>
      </c>
      <c r="C36" s="264">
        <v>69350</v>
      </c>
      <c r="D36" s="264">
        <v>100500</v>
      </c>
      <c r="E36" s="264">
        <v>69350</v>
      </c>
      <c r="F36" s="264">
        <f t="shared" si="0"/>
        <v>0</v>
      </c>
      <c r="G36" s="264">
        <v>100500</v>
      </c>
      <c r="H36" s="264">
        <f t="shared" si="1"/>
        <v>0</v>
      </c>
      <c r="I36" s="264">
        <v>69350</v>
      </c>
      <c r="J36" s="264">
        <f t="shared" si="2"/>
        <v>0</v>
      </c>
      <c r="K36" s="264">
        <v>100500</v>
      </c>
      <c r="L36" s="264">
        <f t="shared" si="3"/>
        <v>0</v>
      </c>
      <c r="M36" s="264">
        <v>69350</v>
      </c>
      <c r="N36" s="264">
        <f t="shared" si="4"/>
        <v>0</v>
      </c>
      <c r="O36" s="264">
        <v>101928.57142857143</v>
      </c>
      <c r="P36" s="264">
        <f t="shared" si="5"/>
        <v>1428.5714285714348</v>
      </c>
      <c r="Q36" s="264">
        <v>69350</v>
      </c>
      <c r="R36" s="264">
        <f t="shared" si="6"/>
        <v>0</v>
      </c>
      <c r="S36" s="264">
        <v>101928.57142857143</v>
      </c>
      <c r="T36" s="264">
        <f t="shared" si="7"/>
        <v>0</v>
      </c>
      <c r="U36" s="264">
        <v>69350</v>
      </c>
      <c r="V36" s="264">
        <f t="shared" si="8"/>
        <v>0</v>
      </c>
      <c r="W36" s="264">
        <v>100500</v>
      </c>
      <c r="X36" s="264">
        <f t="shared" si="9"/>
        <v>-1428.5714285714348</v>
      </c>
    </row>
    <row r="37" spans="1:24">
      <c r="A37" s="265">
        <v>456</v>
      </c>
      <c r="B37" s="263" t="s">
        <v>801</v>
      </c>
      <c r="C37" s="264">
        <v>42250</v>
      </c>
      <c r="D37" s="264">
        <v>61785.71428571429</v>
      </c>
      <c r="E37" s="264">
        <v>42250</v>
      </c>
      <c r="F37" s="264">
        <f t="shared" si="0"/>
        <v>0</v>
      </c>
      <c r="G37" s="264">
        <v>61785.71428571429</v>
      </c>
      <c r="H37" s="264">
        <f t="shared" si="1"/>
        <v>0</v>
      </c>
      <c r="I37" s="264">
        <v>42250</v>
      </c>
      <c r="J37" s="264">
        <f t="shared" si="2"/>
        <v>0</v>
      </c>
      <c r="K37" s="264">
        <v>61785.71428571429</v>
      </c>
      <c r="L37" s="264">
        <f t="shared" si="3"/>
        <v>0</v>
      </c>
      <c r="M37" s="264">
        <v>42250</v>
      </c>
      <c r="N37" s="264">
        <f t="shared" si="4"/>
        <v>0</v>
      </c>
      <c r="O37" s="264">
        <v>63214.285714285717</v>
      </c>
      <c r="P37" s="264">
        <f t="shared" si="5"/>
        <v>1428.5714285714275</v>
      </c>
      <c r="Q37" s="264">
        <v>42250</v>
      </c>
      <c r="R37" s="264">
        <f t="shared" si="6"/>
        <v>0</v>
      </c>
      <c r="S37" s="264">
        <v>63214.285714285717</v>
      </c>
      <c r="T37" s="264">
        <f t="shared" si="7"/>
        <v>0</v>
      </c>
      <c r="U37" s="264">
        <v>42250</v>
      </c>
      <c r="V37" s="264">
        <f t="shared" si="8"/>
        <v>0</v>
      </c>
      <c r="W37" s="264">
        <v>61785.71428571429</v>
      </c>
      <c r="X37" s="264">
        <f t="shared" si="9"/>
        <v>-1428.5714285714275</v>
      </c>
    </row>
    <row r="38" spans="1:24">
      <c r="A38" s="265">
        <v>457</v>
      </c>
      <c r="B38" s="263" t="s">
        <v>803</v>
      </c>
      <c r="C38" s="264">
        <v>43750</v>
      </c>
      <c r="D38" s="264">
        <v>63928.571428571435</v>
      </c>
      <c r="E38" s="264">
        <v>43750</v>
      </c>
      <c r="F38" s="264">
        <f t="shared" si="0"/>
        <v>0</v>
      </c>
      <c r="G38" s="264">
        <v>63928.571428571435</v>
      </c>
      <c r="H38" s="264">
        <f t="shared" si="1"/>
        <v>0</v>
      </c>
      <c r="I38" s="264">
        <v>43750</v>
      </c>
      <c r="J38" s="264">
        <f t="shared" si="2"/>
        <v>0</v>
      </c>
      <c r="K38" s="264">
        <v>63928.571428571435</v>
      </c>
      <c r="L38" s="264">
        <f t="shared" si="3"/>
        <v>0</v>
      </c>
      <c r="M38" s="264">
        <v>43750</v>
      </c>
      <c r="N38" s="264">
        <f t="shared" si="4"/>
        <v>0</v>
      </c>
      <c r="O38" s="264">
        <v>65357.142857142862</v>
      </c>
      <c r="P38" s="264">
        <f t="shared" si="5"/>
        <v>1428.5714285714275</v>
      </c>
      <c r="Q38" s="264">
        <v>43750</v>
      </c>
      <c r="R38" s="264">
        <f t="shared" si="6"/>
        <v>0</v>
      </c>
      <c r="S38" s="264">
        <v>65357.142857142862</v>
      </c>
      <c r="T38" s="264">
        <f t="shared" si="7"/>
        <v>0</v>
      </c>
      <c r="U38" s="264">
        <v>43750</v>
      </c>
      <c r="V38" s="264">
        <f t="shared" si="8"/>
        <v>0</v>
      </c>
      <c r="W38" s="264">
        <v>63928.571428571435</v>
      </c>
      <c r="X38" s="264">
        <f t="shared" si="9"/>
        <v>-1428.5714285714275</v>
      </c>
    </row>
    <row r="39" spans="1:24">
      <c r="A39" s="262">
        <v>458</v>
      </c>
      <c r="B39" s="266" t="s">
        <v>802</v>
      </c>
      <c r="C39" s="264">
        <v>38750</v>
      </c>
      <c r="D39" s="264">
        <v>56785.71428571429</v>
      </c>
      <c r="E39" s="264">
        <v>38750</v>
      </c>
      <c r="F39" s="264">
        <f t="shared" si="0"/>
        <v>0</v>
      </c>
      <c r="G39" s="264">
        <v>56785.71428571429</v>
      </c>
      <c r="H39" s="264">
        <f t="shared" si="1"/>
        <v>0</v>
      </c>
      <c r="I39" s="264">
        <v>38750</v>
      </c>
      <c r="J39" s="264">
        <f t="shared" si="2"/>
        <v>0</v>
      </c>
      <c r="K39" s="264">
        <v>56785.71428571429</v>
      </c>
      <c r="L39" s="264">
        <f t="shared" si="3"/>
        <v>0</v>
      </c>
      <c r="M39" s="264">
        <v>38750</v>
      </c>
      <c r="N39" s="264">
        <f t="shared" si="4"/>
        <v>0</v>
      </c>
      <c r="O39" s="264">
        <v>58214.285714285717</v>
      </c>
      <c r="P39" s="264">
        <f t="shared" si="5"/>
        <v>1428.5714285714275</v>
      </c>
      <c r="Q39" s="264">
        <v>38750</v>
      </c>
      <c r="R39" s="264">
        <f t="shared" si="6"/>
        <v>0</v>
      </c>
      <c r="S39" s="264">
        <v>58214.285714285717</v>
      </c>
      <c r="T39" s="264">
        <f t="shared" si="7"/>
        <v>0</v>
      </c>
      <c r="U39" s="264">
        <v>38750</v>
      </c>
      <c r="V39" s="264">
        <f t="shared" si="8"/>
        <v>0</v>
      </c>
      <c r="W39" s="264">
        <v>56785.71428571429</v>
      </c>
      <c r="X39" s="264">
        <f t="shared" si="9"/>
        <v>-1428.5714285714275</v>
      </c>
    </row>
    <row r="40" spans="1:24">
      <c r="A40" s="265">
        <v>459</v>
      </c>
      <c r="B40" s="263" t="s">
        <v>804</v>
      </c>
      <c r="C40" s="264">
        <v>45000</v>
      </c>
      <c r="D40" s="264">
        <v>65714.285714285725</v>
      </c>
      <c r="E40" s="264">
        <v>45000</v>
      </c>
      <c r="F40" s="264">
        <f t="shared" si="0"/>
        <v>0</v>
      </c>
      <c r="G40" s="264">
        <v>65714.285714285725</v>
      </c>
      <c r="H40" s="264">
        <f t="shared" si="1"/>
        <v>0</v>
      </c>
      <c r="I40" s="264">
        <v>45000</v>
      </c>
      <c r="J40" s="264">
        <f t="shared" si="2"/>
        <v>0</v>
      </c>
      <c r="K40" s="264">
        <v>65714.285714285725</v>
      </c>
      <c r="L40" s="264">
        <f t="shared" si="3"/>
        <v>0</v>
      </c>
      <c r="M40" s="264">
        <v>45000</v>
      </c>
      <c r="N40" s="264">
        <f t="shared" si="4"/>
        <v>0</v>
      </c>
      <c r="O40" s="264">
        <v>67142.857142857145</v>
      </c>
      <c r="P40" s="264">
        <f t="shared" si="5"/>
        <v>1428.5714285714203</v>
      </c>
      <c r="Q40" s="264">
        <v>45000</v>
      </c>
      <c r="R40" s="264">
        <f t="shared" si="6"/>
        <v>0</v>
      </c>
      <c r="S40" s="264">
        <v>67142.857142857145</v>
      </c>
      <c r="T40" s="264">
        <f t="shared" si="7"/>
        <v>0</v>
      </c>
      <c r="U40" s="264">
        <v>45000</v>
      </c>
      <c r="V40" s="264">
        <f t="shared" si="8"/>
        <v>0</v>
      </c>
      <c r="W40" s="264">
        <v>65714.285714285725</v>
      </c>
      <c r="X40" s="264">
        <f t="shared" si="9"/>
        <v>-1428.5714285714203</v>
      </c>
    </row>
    <row r="41" spans="1:24">
      <c r="A41" s="262">
        <v>460</v>
      </c>
      <c r="B41" s="266" t="s">
        <v>562</v>
      </c>
      <c r="C41" s="264">
        <v>38850</v>
      </c>
      <c r="D41" s="264">
        <v>56928.571428571435</v>
      </c>
      <c r="E41" s="264">
        <v>38850</v>
      </c>
      <c r="F41" s="264">
        <f t="shared" si="0"/>
        <v>0</v>
      </c>
      <c r="G41" s="264">
        <v>56928.571428571435</v>
      </c>
      <c r="H41" s="264">
        <f t="shared" si="1"/>
        <v>0</v>
      </c>
      <c r="I41" s="264">
        <v>38850</v>
      </c>
      <c r="J41" s="264">
        <f t="shared" si="2"/>
        <v>0</v>
      </c>
      <c r="K41" s="264">
        <v>56928.571428571435</v>
      </c>
      <c r="L41" s="264">
        <f t="shared" si="3"/>
        <v>0</v>
      </c>
      <c r="M41" s="264">
        <v>38850</v>
      </c>
      <c r="N41" s="264">
        <f t="shared" si="4"/>
        <v>0</v>
      </c>
      <c r="O41" s="264">
        <v>58357.142857142862</v>
      </c>
      <c r="P41" s="264">
        <f t="shared" si="5"/>
        <v>1428.5714285714275</v>
      </c>
      <c r="Q41" s="264">
        <v>38850</v>
      </c>
      <c r="R41" s="264">
        <f t="shared" si="6"/>
        <v>0</v>
      </c>
      <c r="S41" s="264">
        <v>58357.142857142862</v>
      </c>
      <c r="T41" s="264">
        <f t="shared" si="7"/>
        <v>0</v>
      </c>
      <c r="U41" s="264">
        <v>38850</v>
      </c>
      <c r="V41" s="264">
        <f t="shared" si="8"/>
        <v>0</v>
      </c>
      <c r="W41" s="264">
        <v>56928.571428571435</v>
      </c>
      <c r="X41" s="264">
        <f t="shared" si="9"/>
        <v>-1428.5714285714275</v>
      </c>
    </row>
    <row r="42" spans="1:24">
      <c r="A42" s="265">
        <v>461</v>
      </c>
      <c r="B42" s="263" t="s">
        <v>563</v>
      </c>
      <c r="C42" s="264">
        <v>40850</v>
      </c>
      <c r="D42" s="264">
        <v>59785.71428571429</v>
      </c>
      <c r="E42" s="264">
        <v>40850</v>
      </c>
      <c r="F42" s="264">
        <f t="shared" si="0"/>
        <v>0</v>
      </c>
      <c r="G42" s="264">
        <v>59785.71428571429</v>
      </c>
      <c r="H42" s="264">
        <f t="shared" si="1"/>
        <v>0</v>
      </c>
      <c r="I42" s="264">
        <v>40850</v>
      </c>
      <c r="J42" s="264">
        <f t="shared" si="2"/>
        <v>0</v>
      </c>
      <c r="K42" s="264">
        <v>59785.71428571429</v>
      </c>
      <c r="L42" s="264">
        <f t="shared" si="3"/>
        <v>0</v>
      </c>
      <c r="M42" s="264">
        <v>40850</v>
      </c>
      <c r="N42" s="264">
        <f t="shared" si="4"/>
        <v>0</v>
      </c>
      <c r="O42" s="264">
        <v>61214.285714285717</v>
      </c>
      <c r="P42" s="264">
        <f t="shared" si="5"/>
        <v>1428.5714285714275</v>
      </c>
      <c r="Q42" s="264">
        <v>40850</v>
      </c>
      <c r="R42" s="264">
        <f t="shared" si="6"/>
        <v>0</v>
      </c>
      <c r="S42" s="264">
        <v>61214.285714285717</v>
      </c>
      <c r="T42" s="264">
        <f t="shared" si="7"/>
        <v>0</v>
      </c>
      <c r="U42" s="264">
        <v>40850</v>
      </c>
      <c r="V42" s="264">
        <f t="shared" si="8"/>
        <v>0</v>
      </c>
      <c r="W42" s="264">
        <v>59785.71428571429</v>
      </c>
      <c r="X42" s="264">
        <f t="shared" si="9"/>
        <v>-1428.5714285714275</v>
      </c>
    </row>
    <row r="43" spans="1:24">
      <c r="A43" s="265">
        <v>462</v>
      </c>
      <c r="B43" s="266" t="s">
        <v>564</v>
      </c>
      <c r="C43" s="264">
        <v>40500</v>
      </c>
      <c r="D43" s="264">
        <v>59285.71428571429</v>
      </c>
      <c r="E43" s="264">
        <v>40500</v>
      </c>
      <c r="F43" s="264">
        <f t="shared" si="0"/>
        <v>0</v>
      </c>
      <c r="G43" s="264">
        <v>59285.71428571429</v>
      </c>
      <c r="H43" s="264">
        <f t="shared" si="1"/>
        <v>0</v>
      </c>
      <c r="I43" s="264">
        <v>40500</v>
      </c>
      <c r="J43" s="264">
        <f t="shared" si="2"/>
        <v>0</v>
      </c>
      <c r="K43" s="264">
        <v>59285.71428571429</v>
      </c>
      <c r="L43" s="264">
        <f t="shared" si="3"/>
        <v>0</v>
      </c>
      <c r="M43" s="264">
        <v>40500</v>
      </c>
      <c r="N43" s="264">
        <f t="shared" si="4"/>
        <v>0</v>
      </c>
      <c r="O43" s="264">
        <v>60714.285714285717</v>
      </c>
      <c r="P43" s="264">
        <f t="shared" si="5"/>
        <v>1428.5714285714275</v>
      </c>
      <c r="Q43" s="264">
        <v>40500</v>
      </c>
      <c r="R43" s="264">
        <f t="shared" si="6"/>
        <v>0</v>
      </c>
      <c r="S43" s="264">
        <v>60714.285714285717</v>
      </c>
      <c r="T43" s="264">
        <f t="shared" si="7"/>
        <v>0</v>
      </c>
      <c r="U43" s="264">
        <v>40500</v>
      </c>
      <c r="V43" s="264">
        <f t="shared" si="8"/>
        <v>0</v>
      </c>
      <c r="W43" s="264">
        <v>59285.71428571429</v>
      </c>
      <c r="X43" s="264">
        <f t="shared" si="9"/>
        <v>-1428.5714285714275</v>
      </c>
    </row>
    <row r="44" spans="1:24">
      <c r="A44" s="265">
        <v>463</v>
      </c>
      <c r="B44" s="266" t="s">
        <v>825</v>
      </c>
      <c r="C44" s="264">
        <v>68000</v>
      </c>
      <c r="D44" s="264">
        <v>94285.71428571429</v>
      </c>
      <c r="E44" s="264">
        <v>68000</v>
      </c>
      <c r="F44" s="264">
        <f t="shared" si="0"/>
        <v>0</v>
      </c>
      <c r="G44" s="264">
        <v>94285.71428571429</v>
      </c>
      <c r="H44" s="264">
        <f t="shared" si="1"/>
        <v>0</v>
      </c>
      <c r="I44" s="264">
        <v>68000</v>
      </c>
      <c r="J44" s="264">
        <f t="shared" si="2"/>
        <v>0</v>
      </c>
      <c r="K44" s="264">
        <v>100000</v>
      </c>
      <c r="L44" s="264">
        <f t="shared" si="3"/>
        <v>5714.2857142857101</v>
      </c>
      <c r="M44" s="264">
        <v>68000</v>
      </c>
      <c r="N44" s="264">
        <f t="shared" si="4"/>
        <v>0</v>
      </c>
      <c r="O44" s="264">
        <v>102857.14285714287</v>
      </c>
      <c r="P44" s="264">
        <f t="shared" si="5"/>
        <v>2857.1428571428696</v>
      </c>
      <c r="Q44" s="264">
        <v>68000</v>
      </c>
      <c r="R44" s="264">
        <f t="shared" si="6"/>
        <v>0</v>
      </c>
      <c r="S44" s="264">
        <v>102857.14285714287</v>
      </c>
      <c r="T44" s="264">
        <f t="shared" si="7"/>
        <v>0</v>
      </c>
      <c r="U44" s="264">
        <v>68000</v>
      </c>
      <c r="V44" s="264">
        <f t="shared" si="8"/>
        <v>0</v>
      </c>
      <c r="W44" s="264">
        <v>102857.14285714287</v>
      </c>
      <c r="X44" s="264">
        <f t="shared" si="9"/>
        <v>0</v>
      </c>
    </row>
    <row r="45" spans="1:24">
      <c r="A45" s="265">
        <v>464</v>
      </c>
      <c r="B45" s="263" t="s">
        <v>566</v>
      </c>
      <c r="C45" s="264">
        <v>51350</v>
      </c>
      <c r="D45" s="264">
        <v>79071.42857142858</v>
      </c>
      <c r="E45" s="264">
        <v>51350</v>
      </c>
      <c r="F45" s="264">
        <f t="shared" si="0"/>
        <v>0</v>
      </c>
      <c r="G45" s="264">
        <v>79071.42857142858</v>
      </c>
      <c r="H45" s="264">
        <f t="shared" si="1"/>
        <v>0</v>
      </c>
      <c r="I45" s="264">
        <v>51350</v>
      </c>
      <c r="J45" s="264">
        <f t="shared" si="2"/>
        <v>0</v>
      </c>
      <c r="K45" s="264">
        <v>76214.285714285725</v>
      </c>
      <c r="L45" s="264">
        <f t="shared" si="3"/>
        <v>-2857.1428571428551</v>
      </c>
      <c r="M45" s="264">
        <v>51350</v>
      </c>
      <c r="N45" s="264">
        <f t="shared" si="4"/>
        <v>0</v>
      </c>
      <c r="O45" s="264">
        <v>79071.42857142858</v>
      </c>
      <c r="P45" s="264">
        <f t="shared" si="5"/>
        <v>2857.1428571428551</v>
      </c>
      <c r="Q45" s="264">
        <v>51350</v>
      </c>
      <c r="R45" s="264">
        <f t="shared" si="6"/>
        <v>0</v>
      </c>
      <c r="S45" s="264">
        <v>79071.42857142858</v>
      </c>
      <c r="T45" s="264">
        <f t="shared" si="7"/>
        <v>0</v>
      </c>
      <c r="U45" s="264">
        <v>51350</v>
      </c>
      <c r="V45" s="264">
        <f t="shared" si="8"/>
        <v>0</v>
      </c>
      <c r="W45" s="264">
        <v>79071.42857142858</v>
      </c>
      <c r="X45" s="264">
        <f t="shared" si="9"/>
        <v>0</v>
      </c>
    </row>
    <row r="46" spans="1:24">
      <c r="A46" s="265">
        <v>465</v>
      </c>
      <c r="B46" s="266" t="s">
        <v>568</v>
      </c>
      <c r="C46" s="264">
        <v>71050</v>
      </c>
      <c r="D46" s="264">
        <v>101500</v>
      </c>
      <c r="E46" s="264">
        <v>71050</v>
      </c>
      <c r="F46" s="264">
        <f t="shared" si="0"/>
        <v>0</v>
      </c>
      <c r="G46" s="264">
        <v>101500</v>
      </c>
      <c r="H46" s="264">
        <f t="shared" si="1"/>
        <v>0</v>
      </c>
      <c r="I46" s="264">
        <v>71050</v>
      </c>
      <c r="J46" s="264">
        <f t="shared" si="2"/>
        <v>0</v>
      </c>
      <c r="K46" s="264">
        <v>104357.14285714287</v>
      </c>
      <c r="L46" s="264">
        <f t="shared" si="3"/>
        <v>2857.1428571428696</v>
      </c>
      <c r="M46" s="264">
        <v>71050</v>
      </c>
      <c r="N46" s="264">
        <f t="shared" si="4"/>
        <v>0</v>
      </c>
      <c r="O46" s="264">
        <v>107214.28571428572</v>
      </c>
      <c r="P46" s="264">
        <f t="shared" si="5"/>
        <v>2857.1428571428551</v>
      </c>
      <c r="Q46" s="264">
        <v>71050</v>
      </c>
      <c r="R46" s="264">
        <f t="shared" si="6"/>
        <v>0</v>
      </c>
      <c r="S46" s="264">
        <v>107214.28571428572</v>
      </c>
      <c r="T46" s="264">
        <f t="shared" si="7"/>
        <v>0</v>
      </c>
      <c r="U46" s="264">
        <v>71050</v>
      </c>
      <c r="V46" s="264">
        <f t="shared" si="8"/>
        <v>0</v>
      </c>
      <c r="W46" s="264">
        <v>107214.28571428572</v>
      </c>
      <c r="X46" s="264">
        <f t="shared" si="9"/>
        <v>0</v>
      </c>
    </row>
    <row r="47" spans="1:24">
      <c r="A47" s="265">
        <v>466</v>
      </c>
      <c r="B47" s="263" t="s">
        <v>569</v>
      </c>
      <c r="C47" s="264">
        <v>74200</v>
      </c>
      <c r="D47" s="264">
        <v>106000</v>
      </c>
      <c r="E47" s="264">
        <v>74200</v>
      </c>
      <c r="F47" s="264">
        <f t="shared" si="0"/>
        <v>0</v>
      </c>
      <c r="G47" s="264">
        <v>106000</v>
      </c>
      <c r="H47" s="264">
        <f t="shared" si="1"/>
        <v>0</v>
      </c>
      <c r="I47" s="264">
        <v>74200</v>
      </c>
      <c r="J47" s="264">
        <f t="shared" si="2"/>
        <v>0</v>
      </c>
      <c r="K47" s="264">
        <v>108857.14285714287</v>
      </c>
      <c r="L47" s="264">
        <f t="shared" si="3"/>
        <v>2857.1428571428696</v>
      </c>
      <c r="M47" s="264">
        <v>74200</v>
      </c>
      <c r="N47" s="264">
        <f t="shared" si="4"/>
        <v>0</v>
      </c>
      <c r="O47" s="264">
        <v>111714.28571428572</v>
      </c>
      <c r="P47" s="264">
        <f t="shared" si="5"/>
        <v>2857.1428571428551</v>
      </c>
      <c r="Q47" s="264">
        <v>74200</v>
      </c>
      <c r="R47" s="264">
        <f t="shared" si="6"/>
        <v>0</v>
      </c>
      <c r="S47" s="264">
        <v>111714.28571428572</v>
      </c>
      <c r="T47" s="264">
        <f t="shared" si="7"/>
        <v>0</v>
      </c>
      <c r="U47" s="264">
        <v>74200</v>
      </c>
      <c r="V47" s="264">
        <f t="shared" si="8"/>
        <v>0</v>
      </c>
      <c r="W47" s="264">
        <v>111714.28571428572</v>
      </c>
      <c r="X47" s="264">
        <f t="shared" si="9"/>
        <v>0</v>
      </c>
    </row>
    <row r="48" spans="1:24">
      <c r="A48" s="265">
        <v>467</v>
      </c>
      <c r="B48" s="263" t="s">
        <v>570</v>
      </c>
      <c r="C48" s="264">
        <v>70450</v>
      </c>
      <c r="D48" s="264">
        <v>100642.85714285714</v>
      </c>
      <c r="E48" s="264">
        <v>70450</v>
      </c>
      <c r="F48" s="264">
        <f t="shared" si="0"/>
        <v>0</v>
      </c>
      <c r="G48" s="264">
        <v>100642.85714285714</v>
      </c>
      <c r="H48" s="264">
        <f t="shared" si="1"/>
        <v>0</v>
      </c>
      <c r="I48" s="264">
        <v>70450</v>
      </c>
      <c r="J48" s="264">
        <f t="shared" si="2"/>
        <v>0</v>
      </c>
      <c r="K48" s="264">
        <v>103500</v>
      </c>
      <c r="L48" s="264">
        <f t="shared" si="3"/>
        <v>2857.1428571428551</v>
      </c>
      <c r="M48" s="264">
        <v>70450</v>
      </c>
      <c r="N48" s="264">
        <f t="shared" si="4"/>
        <v>0</v>
      </c>
      <c r="O48" s="264">
        <v>106357.14285714287</v>
      </c>
      <c r="P48" s="264">
        <f t="shared" si="5"/>
        <v>2857.1428571428696</v>
      </c>
      <c r="Q48" s="264">
        <v>70450</v>
      </c>
      <c r="R48" s="264">
        <f t="shared" si="6"/>
        <v>0</v>
      </c>
      <c r="S48" s="264">
        <v>106357.14285714287</v>
      </c>
      <c r="T48" s="264">
        <f t="shared" si="7"/>
        <v>0</v>
      </c>
      <c r="U48" s="264">
        <v>70450</v>
      </c>
      <c r="V48" s="264">
        <f t="shared" si="8"/>
        <v>0</v>
      </c>
      <c r="W48" s="264">
        <v>106357.14285714287</v>
      </c>
      <c r="X48" s="264">
        <f t="shared" si="9"/>
        <v>0</v>
      </c>
    </row>
    <row r="49" spans="1:24">
      <c r="A49" s="265">
        <v>468</v>
      </c>
      <c r="B49" s="263" t="s">
        <v>826</v>
      </c>
      <c r="C49" s="264">
        <v>55350</v>
      </c>
      <c r="D49" s="264">
        <v>84785.71428571429</v>
      </c>
      <c r="E49" s="264">
        <v>55350</v>
      </c>
      <c r="F49" s="264">
        <f t="shared" si="0"/>
        <v>0</v>
      </c>
      <c r="G49" s="264">
        <v>84785.71428571429</v>
      </c>
      <c r="H49" s="264">
        <f t="shared" si="1"/>
        <v>0</v>
      </c>
      <c r="I49" s="264">
        <v>55350</v>
      </c>
      <c r="J49" s="264">
        <f t="shared" si="2"/>
        <v>0</v>
      </c>
      <c r="K49" s="264">
        <v>81928.571428571435</v>
      </c>
      <c r="L49" s="264">
        <f t="shared" si="3"/>
        <v>-2857.1428571428551</v>
      </c>
      <c r="M49" s="264">
        <v>55350</v>
      </c>
      <c r="N49" s="264">
        <f t="shared" si="4"/>
        <v>0</v>
      </c>
      <c r="O49" s="264">
        <v>84785.71428571429</v>
      </c>
      <c r="P49" s="264">
        <f t="shared" si="5"/>
        <v>2857.1428571428551</v>
      </c>
      <c r="Q49" s="264">
        <v>55350</v>
      </c>
      <c r="R49" s="264">
        <f t="shared" si="6"/>
        <v>0</v>
      </c>
      <c r="S49" s="264">
        <v>84785.71428571429</v>
      </c>
      <c r="T49" s="264">
        <f t="shared" si="7"/>
        <v>0</v>
      </c>
      <c r="U49" s="264">
        <v>55350</v>
      </c>
      <c r="V49" s="264">
        <f t="shared" si="8"/>
        <v>0</v>
      </c>
      <c r="W49" s="264">
        <v>84785.71428571429</v>
      </c>
      <c r="X49" s="264">
        <f t="shared" si="9"/>
        <v>0</v>
      </c>
    </row>
    <row r="50" spans="1:24">
      <c r="A50" s="265">
        <v>469</v>
      </c>
      <c r="B50" s="263" t="s">
        <v>805</v>
      </c>
      <c r="C50" s="264">
        <v>77850</v>
      </c>
      <c r="D50" s="264">
        <v>109785.71428571429</v>
      </c>
      <c r="E50" s="264">
        <v>77850</v>
      </c>
      <c r="F50" s="264">
        <f t="shared" si="0"/>
        <v>0</v>
      </c>
      <c r="G50" s="264">
        <v>109785.71428571429</v>
      </c>
      <c r="H50" s="264">
        <f t="shared" si="1"/>
        <v>0</v>
      </c>
      <c r="I50" s="264">
        <v>77850</v>
      </c>
      <c r="J50" s="264">
        <f t="shared" si="2"/>
        <v>0</v>
      </c>
      <c r="K50" s="264">
        <v>112642.85714285714</v>
      </c>
      <c r="L50" s="264">
        <f t="shared" si="3"/>
        <v>2857.1428571428551</v>
      </c>
      <c r="M50" s="264">
        <v>77850</v>
      </c>
      <c r="N50" s="264">
        <f t="shared" si="4"/>
        <v>0</v>
      </c>
      <c r="O50" s="264">
        <v>111214.28571428572</v>
      </c>
      <c r="P50" s="264">
        <f t="shared" si="5"/>
        <v>-1428.5714285714203</v>
      </c>
      <c r="Q50" s="264">
        <v>77850</v>
      </c>
      <c r="R50" s="264">
        <f t="shared" si="6"/>
        <v>0</v>
      </c>
      <c r="S50" s="264">
        <v>111214.28571428572</v>
      </c>
      <c r="T50" s="264">
        <f t="shared" si="7"/>
        <v>0</v>
      </c>
      <c r="U50" s="264">
        <v>77850</v>
      </c>
      <c r="V50" s="264">
        <f t="shared" si="8"/>
        <v>0</v>
      </c>
      <c r="W50" s="264">
        <v>111214.28571428572</v>
      </c>
      <c r="X50" s="264">
        <f t="shared" si="9"/>
        <v>0</v>
      </c>
    </row>
    <row r="51" spans="1:24">
      <c r="A51" s="265">
        <v>470</v>
      </c>
      <c r="B51" s="266" t="s">
        <v>806</v>
      </c>
      <c r="C51" s="264">
        <v>77850</v>
      </c>
      <c r="D51" s="264">
        <v>109785.71428571429</v>
      </c>
      <c r="E51" s="264">
        <v>77850</v>
      </c>
      <c r="F51" s="264">
        <f t="shared" si="0"/>
        <v>0</v>
      </c>
      <c r="G51" s="264">
        <v>109785.71428571429</v>
      </c>
      <c r="H51" s="264">
        <f t="shared" si="1"/>
        <v>0</v>
      </c>
      <c r="I51" s="264">
        <v>77850</v>
      </c>
      <c r="J51" s="264">
        <f t="shared" si="2"/>
        <v>0</v>
      </c>
      <c r="K51" s="264">
        <v>112642.85714285714</v>
      </c>
      <c r="L51" s="264">
        <f t="shared" si="3"/>
        <v>2857.1428571428551</v>
      </c>
      <c r="M51" s="264">
        <v>77850</v>
      </c>
      <c r="N51" s="264">
        <f t="shared" si="4"/>
        <v>0</v>
      </c>
      <c r="O51" s="264">
        <v>115500.00000000001</v>
      </c>
      <c r="P51" s="264">
        <f t="shared" si="5"/>
        <v>2857.1428571428696</v>
      </c>
      <c r="Q51" s="264">
        <v>77850</v>
      </c>
      <c r="R51" s="264">
        <f t="shared" si="6"/>
        <v>0</v>
      </c>
      <c r="S51" s="264">
        <v>115500.00000000001</v>
      </c>
      <c r="T51" s="264">
        <f t="shared" si="7"/>
        <v>0</v>
      </c>
      <c r="U51" s="264">
        <v>77850</v>
      </c>
      <c r="V51" s="264">
        <f t="shared" si="8"/>
        <v>0</v>
      </c>
      <c r="W51" s="264">
        <v>115500.00000000001</v>
      </c>
      <c r="X51" s="264">
        <f t="shared" si="9"/>
        <v>0</v>
      </c>
    </row>
    <row r="52" spans="1:24">
      <c r="A52" s="265">
        <v>471</v>
      </c>
      <c r="B52" s="263" t="s">
        <v>571</v>
      </c>
      <c r="C52" s="264">
        <v>77850</v>
      </c>
      <c r="D52" s="264">
        <v>109785.71428571429</v>
      </c>
      <c r="E52" s="264">
        <v>77850</v>
      </c>
      <c r="F52" s="264">
        <f t="shared" si="0"/>
        <v>0</v>
      </c>
      <c r="G52" s="264">
        <v>109785.71428571429</v>
      </c>
      <c r="H52" s="264">
        <f t="shared" si="1"/>
        <v>0</v>
      </c>
      <c r="I52" s="264">
        <v>77850</v>
      </c>
      <c r="J52" s="264">
        <f t="shared" si="2"/>
        <v>0</v>
      </c>
      <c r="K52" s="264">
        <v>112642.85714285714</v>
      </c>
      <c r="L52" s="264">
        <f t="shared" si="3"/>
        <v>2857.1428571428551</v>
      </c>
      <c r="M52" s="264">
        <v>77850</v>
      </c>
      <c r="N52" s="264">
        <f t="shared" si="4"/>
        <v>0</v>
      </c>
      <c r="O52" s="264">
        <v>115500.00000000001</v>
      </c>
      <c r="P52" s="264">
        <f t="shared" si="5"/>
        <v>2857.1428571428696</v>
      </c>
      <c r="Q52" s="264">
        <v>77850</v>
      </c>
      <c r="R52" s="264">
        <f t="shared" si="6"/>
        <v>0</v>
      </c>
      <c r="S52" s="264">
        <v>115500.00000000001</v>
      </c>
      <c r="T52" s="264">
        <f t="shared" si="7"/>
        <v>0</v>
      </c>
      <c r="U52" s="264">
        <v>77850</v>
      </c>
      <c r="V52" s="264">
        <f t="shared" si="8"/>
        <v>0</v>
      </c>
      <c r="W52" s="264">
        <v>115500.00000000001</v>
      </c>
      <c r="X52" s="264">
        <f t="shared" si="9"/>
        <v>0</v>
      </c>
    </row>
    <row r="53" spans="1:24">
      <c r="A53" s="262">
        <v>472</v>
      </c>
      <c r="B53" s="266" t="s">
        <v>572</v>
      </c>
      <c r="C53" s="264">
        <v>79100</v>
      </c>
      <c r="D53" s="264">
        <v>111571.42857142858</v>
      </c>
      <c r="E53" s="264">
        <v>79100</v>
      </c>
      <c r="F53" s="264">
        <f t="shared" si="0"/>
        <v>0</v>
      </c>
      <c r="G53" s="264">
        <v>111571.42857142858</v>
      </c>
      <c r="H53" s="264">
        <f t="shared" si="1"/>
        <v>0</v>
      </c>
      <c r="I53" s="264">
        <v>79100</v>
      </c>
      <c r="J53" s="264">
        <f t="shared" si="2"/>
        <v>0</v>
      </c>
      <c r="K53" s="264">
        <v>114428.57142857143</v>
      </c>
      <c r="L53" s="264">
        <f t="shared" si="3"/>
        <v>2857.1428571428551</v>
      </c>
      <c r="M53" s="264">
        <v>79100</v>
      </c>
      <c r="N53" s="264">
        <f t="shared" si="4"/>
        <v>0</v>
      </c>
      <c r="O53" s="264">
        <v>117285.71428571429</v>
      </c>
      <c r="P53" s="264">
        <f t="shared" si="5"/>
        <v>2857.1428571428551</v>
      </c>
      <c r="Q53" s="264">
        <v>79100</v>
      </c>
      <c r="R53" s="264">
        <f t="shared" si="6"/>
        <v>0</v>
      </c>
      <c r="S53" s="264">
        <v>117285.71428571429</v>
      </c>
      <c r="T53" s="264">
        <f t="shared" si="7"/>
        <v>0</v>
      </c>
      <c r="U53" s="264">
        <v>79100</v>
      </c>
      <c r="V53" s="264">
        <f t="shared" si="8"/>
        <v>0</v>
      </c>
      <c r="W53" s="264">
        <v>117285.71428571429</v>
      </c>
      <c r="X53" s="264">
        <f t="shared" si="9"/>
        <v>0</v>
      </c>
    </row>
    <row r="54" spans="1:24">
      <c r="A54" s="262">
        <v>473</v>
      </c>
      <c r="B54" s="266" t="s">
        <v>807</v>
      </c>
      <c r="C54" s="264">
        <v>66500</v>
      </c>
      <c r="D54" s="264">
        <v>95000</v>
      </c>
      <c r="E54" s="264">
        <v>66500</v>
      </c>
      <c r="F54" s="264">
        <f t="shared" si="0"/>
        <v>0</v>
      </c>
      <c r="G54" s="264">
        <v>95000</v>
      </c>
      <c r="H54" s="264">
        <f t="shared" si="1"/>
        <v>0</v>
      </c>
      <c r="I54" s="264">
        <v>66500</v>
      </c>
      <c r="J54" s="264">
        <f t="shared" si="2"/>
        <v>0</v>
      </c>
      <c r="K54" s="264">
        <v>96428.571428571435</v>
      </c>
      <c r="L54" s="264">
        <f t="shared" si="3"/>
        <v>1428.5714285714348</v>
      </c>
      <c r="M54" s="264">
        <v>66500</v>
      </c>
      <c r="N54" s="264">
        <f t="shared" si="4"/>
        <v>0</v>
      </c>
      <c r="O54" s="264">
        <v>96428.571428571435</v>
      </c>
      <c r="P54" s="264">
        <f t="shared" si="5"/>
        <v>0</v>
      </c>
      <c r="Q54" s="264">
        <v>66500</v>
      </c>
      <c r="R54" s="264">
        <f t="shared" si="6"/>
        <v>0</v>
      </c>
      <c r="S54" s="264">
        <v>96428.571428571435</v>
      </c>
      <c r="T54" s="264">
        <f t="shared" si="7"/>
        <v>0</v>
      </c>
      <c r="U54" s="264">
        <v>66500</v>
      </c>
      <c r="V54" s="264">
        <f t="shared" si="8"/>
        <v>0</v>
      </c>
      <c r="W54" s="264">
        <v>96428.571428571435</v>
      </c>
      <c r="X54" s="264">
        <f t="shared" si="9"/>
        <v>0</v>
      </c>
    </row>
    <row r="55" spans="1:24">
      <c r="A55" s="265">
        <v>474</v>
      </c>
      <c r="B55" s="268" t="s">
        <v>808</v>
      </c>
      <c r="C55" s="264">
        <v>66000</v>
      </c>
      <c r="D55" s="264">
        <v>94285.71428571429</v>
      </c>
      <c r="E55" s="264">
        <v>65000</v>
      </c>
      <c r="F55" s="264">
        <f t="shared" si="0"/>
        <v>-1000</v>
      </c>
      <c r="G55" s="264">
        <v>92857.14285714287</v>
      </c>
      <c r="H55" s="264">
        <f t="shared" si="1"/>
        <v>-1428.5714285714203</v>
      </c>
      <c r="I55" s="264">
        <v>65000</v>
      </c>
      <c r="J55" s="264">
        <f t="shared" si="2"/>
        <v>0</v>
      </c>
      <c r="K55" s="264">
        <v>95714.285714285725</v>
      </c>
      <c r="L55" s="264">
        <f t="shared" si="3"/>
        <v>2857.1428571428551</v>
      </c>
      <c r="M55" s="264">
        <v>65000</v>
      </c>
      <c r="N55" s="264">
        <f t="shared" si="4"/>
        <v>0</v>
      </c>
      <c r="O55" s="264">
        <v>95714.285714285725</v>
      </c>
      <c r="P55" s="264">
        <f t="shared" si="5"/>
        <v>0</v>
      </c>
      <c r="Q55" s="264">
        <v>65000</v>
      </c>
      <c r="R55" s="264">
        <f t="shared" si="6"/>
        <v>0</v>
      </c>
      <c r="S55" s="264">
        <v>95714.285714285725</v>
      </c>
      <c r="T55" s="264">
        <f t="shared" si="7"/>
        <v>0</v>
      </c>
      <c r="U55" s="264">
        <v>65000</v>
      </c>
      <c r="V55" s="264">
        <f t="shared" si="8"/>
        <v>0</v>
      </c>
      <c r="W55" s="264">
        <v>95714.285714285725</v>
      </c>
      <c r="X55" s="264">
        <f t="shared" si="9"/>
        <v>0</v>
      </c>
    </row>
    <row r="56" spans="1:24">
      <c r="A56" s="265">
        <v>475</v>
      </c>
      <c r="B56" s="269" t="s">
        <v>810</v>
      </c>
      <c r="C56" s="264">
        <v>65400</v>
      </c>
      <c r="D56" s="264">
        <v>93428.571428571435</v>
      </c>
      <c r="E56" s="264">
        <v>65000</v>
      </c>
      <c r="F56" s="264">
        <f t="shared" si="0"/>
        <v>-400</v>
      </c>
      <c r="G56" s="264">
        <v>92857.14285714287</v>
      </c>
      <c r="H56" s="264">
        <f t="shared" si="1"/>
        <v>-571.42857142856519</v>
      </c>
      <c r="I56" s="264">
        <v>65000</v>
      </c>
      <c r="J56" s="264">
        <f t="shared" si="2"/>
        <v>0</v>
      </c>
      <c r="K56" s="264">
        <v>98571.42857142858</v>
      </c>
      <c r="L56" s="264">
        <f t="shared" si="3"/>
        <v>5714.2857142857101</v>
      </c>
      <c r="M56" s="264">
        <v>65000</v>
      </c>
      <c r="N56" s="264">
        <f t="shared" si="4"/>
        <v>0</v>
      </c>
      <c r="O56" s="264">
        <v>98571.42857142858</v>
      </c>
      <c r="P56" s="264">
        <f t="shared" si="5"/>
        <v>0</v>
      </c>
      <c r="Q56" s="264">
        <v>65000</v>
      </c>
      <c r="R56" s="264">
        <f t="shared" si="6"/>
        <v>0</v>
      </c>
      <c r="S56" s="264">
        <v>98571.42857142858</v>
      </c>
      <c r="T56" s="264">
        <f t="shared" si="7"/>
        <v>0</v>
      </c>
      <c r="U56" s="264">
        <v>65000</v>
      </c>
      <c r="V56" s="264">
        <f t="shared" si="8"/>
        <v>0</v>
      </c>
      <c r="W56" s="264">
        <v>98571.42857142858</v>
      </c>
      <c r="X56" s="264">
        <f t="shared" si="9"/>
        <v>0</v>
      </c>
    </row>
    <row r="57" spans="1:24">
      <c r="A57" s="265">
        <v>476</v>
      </c>
      <c r="B57" s="269" t="s">
        <v>809</v>
      </c>
      <c r="C57" s="264">
        <v>65700</v>
      </c>
      <c r="D57" s="264">
        <v>93857.14285714287</v>
      </c>
      <c r="E57" s="264">
        <v>65700</v>
      </c>
      <c r="F57" s="264">
        <f t="shared" si="0"/>
        <v>0</v>
      </c>
      <c r="G57" s="264">
        <v>93857.14285714287</v>
      </c>
      <c r="H57" s="264">
        <f t="shared" si="1"/>
        <v>0</v>
      </c>
      <c r="I57" s="264">
        <v>65700</v>
      </c>
      <c r="J57" s="264">
        <f t="shared" si="2"/>
        <v>0</v>
      </c>
      <c r="K57" s="264">
        <v>95285.71428571429</v>
      </c>
      <c r="L57" s="264">
        <f t="shared" si="3"/>
        <v>1428.5714285714203</v>
      </c>
      <c r="M57" s="264">
        <v>65700</v>
      </c>
      <c r="N57" s="264">
        <f t="shared" si="4"/>
        <v>0</v>
      </c>
      <c r="O57" s="264">
        <v>98142.857142857145</v>
      </c>
      <c r="P57" s="264">
        <f t="shared" si="5"/>
        <v>2857.1428571428551</v>
      </c>
      <c r="Q57" s="264">
        <v>65700</v>
      </c>
      <c r="R57" s="264">
        <f t="shared" si="6"/>
        <v>0</v>
      </c>
      <c r="S57" s="264">
        <v>98142.857142857145</v>
      </c>
      <c r="T57" s="264">
        <f t="shared" si="7"/>
        <v>0</v>
      </c>
      <c r="U57" s="264">
        <v>65700</v>
      </c>
      <c r="V57" s="264">
        <f t="shared" si="8"/>
        <v>0</v>
      </c>
      <c r="W57" s="264">
        <v>98142.857142857145</v>
      </c>
      <c r="X57" s="264">
        <f t="shared" si="9"/>
        <v>0</v>
      </c>
    </row>
    <row r="58" spans="1:24">
      <c r="A58" s="265">
        <v>477</v>
      </c>
      <c r="B58" s="268" t="s">
        <v>811</v>
      </c>
      <c r="C58" s="264">
        <v>64500</v>
      </c>
      <c r="D58" s="264">
        <v>92142.857142857145</v>
      </c>
      <c r="E58" s="264">
        <v>64500</v>
      </c>
      <c r="F58" s="264">
        <f t="shared" si="0"/>
        <v>0</v>
      </c>
      <c r="G58" s="264">
        <v>92142.857142857145</v>
      </c>
      <c r="H58" s="264">
        <f t="shared" si="1"/>
        <v>0</v>
      </c>
      <c r="I58" s="264">
        <v>64500</v>
      </c>
      <c r="J58" s="264">
        <f t="shared" si="2"/>
        <v>0</v>
      </c>
      <c r="K58" s="264">
        <v>93571.42857142858</v>
      </c>
      <c r="L58" s="264">
        <f t="shared" si="3"/>
        <v>1428.5714285714348</v>
      </c>
      <c r="M58" s="264">
        <v>64500</v>
      </c>
      <c r="N58" s="264">
        <f t="shared" si="4"/>
        <v>0</v>
      </c>
      <c r="O58" s="264">
        <v>94285.71428571429</v>
      </c>
      <c r="P58" s="264">
        <f t="shared" si="5"/>
        <v>714.28571428571013</v>
      </c>
      <c r="Q58" s="264">
        <v>64500</v>
      </c>
      <c r="R58" s="264">
        <f t="shared" si="6"/>
        <v>0</v>
      </c>
      <c r="S58" s="264">
        <v>94285.71428571429</v>
      </c>
      <c r="T58" s="264">
        <f t="shared" si="7"/>
        <v>0</v>
      </c>
      <c r="U58" s="264">
        <v>64500</v>
      </c>
      <c r="V58" s="264">
        <f t="shared" si="8"/>
        <v>0</v>
      </c>
      <c r="W58" s="264">
        <v>94285.71428571429</v>
      </c>
      <c r="X58" s="264">
        <f t="shared" si="9"/>
        <v>0</v>
      </c>
    </row>
    <row r="59" spans="1:24">
      <c r="A59" s="262">
        <v>478</v>
      </c>
      <c r="B59" s="268" t="s">
        <v>814</v>
      </c>
      <c r="C59" s="264">
        <v>78350</v>
      </c>
      <c r="D59" s="264">
        <v>111928.57142857143</v>
      </c>
      <c r="E59" s="264">
        <v>78350</v>
      </c>
      <c r="F59" s="264">
        <f t="shared" si="0"/>
        <v>0</v>
      </c>
      <c r="G59" s="264">
        <v>111928.57142857143</v>
      </c>
      <c r="H59" s="264">
        <f t="shared" si="1"/>
        <v>0</v>
      </c>
      <c r="I59" s="264">
        <v>78350</v>
      </c>
      <c r="J59" s="264">
        <f t="shared" si="2"/>
        <v>0</v>
      </c>
      <c r="K59" s="264">
        <v>113357.14285714287</v>
      </c>
      <c r="L59" s="264">
        <f t="shared" si="3"/>
        <v>1428.5714285714348</v>
      </c>
      <c r="M59" s="264">
        <v>78350</v>
      </c>
      <c r="N59" s="264">
        <f t="shared" si="4"/>
        <v>0</v>
      </c>
      <c r="O59" s="264">
        <v>116214.28571428572</v>
      </c>
      <c r="P59" s="264">
        <f t="shared" si="5"/>
        <v>2857.1428571428551</v>
      </c>
      <c r="Q59" s="264">
        <v>78350</v>
      </c>
      <c r="R59" s="264">
        <f t="shared" si="6"/>
        <v>0</v>
      </c>
      <c r="S59" s="264">
        <v>116214.28571428572</v>
      </c>
      <c r="T59" s="264">
        <f t="shared" si="7"/>
        <v>0</v>
      </c>
      <c r="U59" s="264">
        <v>78350</v>
      </c>
      <c r="V59" s="264">
        <f t="shared" si="8"/>
        <v>0</v>
      </c>
      <c r="W59" s="264">
        <v>116214.28571428572</v>
      </c>
      <c r="X59" s="264">
        <f t="shared" si="9"/>
        <v>0</v>
      </c>
    </row>
    <row r="60" spans="1:24">
      <c r="A60" s="265">
        <v>479</v>
      </c>
      <c r="B60" s="268" t="s">
        <v>812</v>
      </c>
      <c r="C60" s="264">
        <v>74100</v>
      </c>
      <c r="D60" s="264">
        <v>105857.14285714287</v>
      </c>
      <c r="E60" s="264">
        <v>74100</v>
      </c>
      <c r="F60" s="264">
        <f t="shared" si="0"/>
        <v>0</v>
      </c>
      <c r="G60" s="264">
        <v>105857.14285714287</v>
      </c>
      <c r="H60" s="264">
        <f t="shared" si="1"/>
        <v>0</v>
      </c>
      <c r="I60" s="264">
        <v>74100</v>
      </c>
      <c r="J60" s="264">
        <f t="shared" si="2"/>
        <v>0</v>
      </c>
      <c r="K60" s="264">
        <v>107285.71428571429</v>
      </c>
      <c r="L60" s="264">
        <f t="shared" si="3"/>
        <v>1428.5714285714203</v>
      </c>
      <c r="M60" s="264">
        <v>74100</v>
      </c>
      <c r="N60" s="264">
        <f t="shared" si="4"/>
        <v>0</v>
      </c>
      <c r="O60" s="264">
        <v>110142.85714285714</v>
      </c>
      <c r="P60" s="264">
        <f t="shared" si="5"/>
        <v>2857.1428571428551</v>
      </c>
      <c r="Q60" s="264">
        <v>74100</v>
      </c>
      <c r="R60" s="264">
        <f t="shared" si="6"/>
        <v>0</v>
      </c>
      <c r="S60" s="264">
        <v>110142.85714285714</v>
      </c>
      <c r="T60" s="264">
        <f t="shared" si="7"/>
        <v>0</v>
      </c>
      <c r="U60" s="264">
        <v>74100</v>
      </c>
      <c r="V60" s="264">
        <f t="shared" si="8"/>
        <v>0</v>
      </c>
      <c r="W60" s="264">
        <v>110142.85714285714</v>
      </c>
      <c r="X60" s="264">
        <f t="shared" si="9"/>
        <v>0</v>
      </c>
    </row>
    <row r="61" spans="1:24">
      <c r="A61" s="265">
        <v>480</v>
      </c>
      <c r="B61" s="268" t="s">
        <v>813</v>
      </c>
      <c r="C61" s="264">
        <v>64900</v>
      </c>
      <c r="D61" s="264">
        <v>92714.285714285725</v>
      </c>
      <c r="E61" s="264">
        <v>64900</v>
      </c>
      <c r="F61" s="264">
        <f t="shared" si="0"/>
        <v>0</v>
      </c>
      <c r="G61" s="264">
        <v>92714.285714285725</v>
      </c>
      <c r="H61" s="264">
        <f t="shared" si="1"/>
        <v>0</v>
      </c>
      <c r="I61" s="264">
        <v>64900</v>
      </c>
      <c r="J61" s="264">
        <f t="shared" si="2"/>
        <v>0</v>
      </c>
      <c r="K61" s="264">
        <v>94142.857142857145</v>
      </c>
      <c r="L61" s="264">
        <f t="shared" si="3"/>
        <v>1428.5714285714203</v>
      </c>
      <c r="M61" s="264">
        <v>64900</v>
      </c>
      <c r="N61" s="264">
        <f t="shared" si="4"/>
        <v>0</v>
      </c>
      <c r="O61" s="264">
        <v>97000</v>
      </c>
      <c r="P61" s="264">
        <f t="shared" si="5"/>
        <v>2857.1428571428551</v>
      </c>
      <c r="Q61" s="264">
        <v>64900</v>
      </c>
      <c r="R61" s="264">
        <f t="shared" si="6"/>
        <v>0</v>
      </c>
      <c r="S61" s="264">
        <v>97000</v>
      </c>
      <c r="T61" s="264">
        <f t="shared" si="7"/>
        <v>0</v>
      </c>
      <c r="U61" s="264">
        <v>64900</v>
      </c>
      <c r="V61" s="264">
        <f t="shared" si="8"/>
        <v>0</v>
      </c>
      <c r="W61" s="264">
        <v>97000</v>
      </c>
      <c r="X61" s="264">
        <f t="shared" si="9"/>
        <v>0</v>
      </c>
    </row>
    <row r="62" spans="1:24">
      <c r="A62" s="265">
        <v>481</v>
      </c>
      <c r="B62" s="269" t="s">
        <v>580</v>
      </c>
      <c r="C62" s="264">
        <v>70900</v>
      </c>
      <c r="D62" s="264">
        <v>99857.14285714287</v>
      </c>
      <c r="E62" s="264">
        <v>70900</v>
      </c>
      <c r="F62" s="264">
        <f t="shared" si="0"/>
        <v>0</v>
      </c>
      <c r="G62" s="264">
        <v>99857.14285714287</v>
      </c>
      <c r="H62" s="264">
        <f t="shared" si="1"/>
        <v>0</v>
      </c>
      <c r="I62" s="264">
        <v>70900</v>
      </c>
      <c r="J62" s="264">
        <f t="shared" si="2"/>
        <v>0</v>
      </c>
      <c r="K62" s="264">
        <v>102714.28571428572</v>
      </c>
      <c r="L62" s="264">
        <f t="shared" si="3"/>
        <v>2857.1428571428551</v>
      </c>
      <c r="M62" s="264">
        <v>70900</v>
      </c>
      <c r="N62" s="264">
        <f t="shared" si="4"/>
        <v>0</v>
      </c>
      <c r="O62" s="264">
        <v>105571.42857142858</v>
      </c>
      <c r="P62" s="264">
        <f t="shared" si="5"/>
        <v>2857.1428571428551</v>
      </c>
      <c r="Q62" s="264">
        <v>70900</v>
      </c>
      <c r="R62" s="264">
        <f t="shared" si="6"/>
        <v>0</v>
      </c>
      <c r="S62" s="264">
        <v>105571.42857142858</v>
      </c>
      <c r="T62" s="264">
        <f t="shared" si="7"/>
        <v>0</v>
      </c>
      <c r="U62" s="264">
        <v>70900</v>
      </c>
      <c r="V62" s="264">
        <f t="shared" si="8"/>
        <v>0</v>
      </c>
      <c r="W62" s="264">
        <v>105571.42857142858</v>
      </c>
      <c r="X62" s="264">
        <f t="shared" si="9"/>
        <v>0</v>
      </c>
    </row>
    <row r="63" spans="1:24">
      <c r="A63" s="265">
        <v>482</v>
      </c>
      <c r="B63" s="268" t="s">
        <v>582</v>
      </c>
      <c r="C63" s="264">
        <v>65400</v>
      </c>
      <c r="D63" s="264">
        <v>93428.571428571435</v>
      </c>
      <c r="E63" s="264">
        <v>65400</v>
      </c>
      <c r="F63" s="264">
        <f t="shared" si="0"/>
        <v>0</v>
      </c>
      <c r="G63" s="264">
        <v>93428.571428571435</v>
      </c>
      <c r="H63" s="264">
        <f t="shared" si="1"/>
        <v>0</v>
      </c>
      <c r="I63" s="264">
        <v>65400</v>
      </c>
      <c r="J63" s="264">
        <f t="shared" si="2"/>
        <v>0</v>
      </c>
      <c r="K63" s="264">
        <v>94857.14285714287</v>
      </c>
      <c r="L63" s="264">
        <f t="shared" si="3"/>
        <v>1428.5714285714348</v>
      </c>
      <c r="M63" s="264">
        <v>65400</v>
      </c>
      <c r="N63" s="264">
        <f t="shared" si="4"/>
        <v>0</v>
      </c>
      <c r="O63" s="264">
        <v>97714.285714285725</v>
      </c>
      <c r="P63" s="264">
        <f t="shared" si="5"/>
        <v>2857.1428571428551</v>
      </c>
      <c r="Q63" s="264">
        <v>65400</v>
      </c>
      <c r="R63" s="264">
        <f t="shared" si="6"/>
        <v>0</v>
      </c>
      <c r="S63" s="264">
        <v>97714.285714285725</v>
      </c>
      <c r="T63" s="264">
        <f t="shared" si="7"/>
        <v>0</v>
      </c>
      <c r="U63" s="264">
        <v>65400</v>
      </c>
      <c r="V63" s="264">
        <f t="shared" si="8"/>
        <v>0</v>
      </c>
      <c r="W63" s="264">
        <v>97714.285714285725</v>
      </c>
      <c r="X63" s="264">
        <f t="shared" si="9"/>
        <v>0</v>
      </c>
    </row>
    <row r="64" spans="1:24">
      <c r="A64" s="265">
        <v>483</v>
      </c>
      <c r="B64" s="269" t="s">
        <v>584</v>
      </c>
      <c r="C64" s="264">
        <v>73600</v>
      </c>
      <c r="D64" s="264">
        <v>103714.28571428572</v>
      </c>
      <c r="E64" s="264">
        <v>73600</v>
      </c>
      <c r="F64" s="264">
        <f t="shared" si="0"/>
        <v>0</v>
      </c>
      <c r="G64" s="264">
        <v>103714.28571428572</v>
      </c>
      <c r="H64" s="264">
        <f t="shared" si="1"/>
        <v>0</v>
      </c>
      <c r="I64" s="264">
        <v>73600</v>
      </c>
      <c r="J64" s="264">
        <f t="shared" si="2"/>
        <v>0</v>
      </c>
      <c r="K64" s="264">
        <v>106571.42857142858</v>
      </c>
      <c r="L64" s="264">
        <f t="shared" si="3"/>
        <v>2857.1428571428551</v>
      </c>
      <c r="M64" s="264">
        <v>73600</v>
      </c>
      <c r="N64" s="264">
        <f t="shared" si="4"/>
        <v>0</v>
      </c>
      <c r="O64" s="264">
        <v>109428.57142857143</v>
      </c>
      <c r="P64" s="264">
        <f t="shared" si="5"/>
        <v>2857.1428571428551</v>
      </c>
      <c r="Q64" s="264">
        <v>73600</v>
      </c>
      <c r="R64" s="264">
        <f t="shared" si="6"/>
        <v>0</v>
      </c>
      <c r="S64" s="264">
        <v>109428.57142857143</v>
      </c>
      <c r="T64" s="264">
        <f t="shared" si="7"/>
        <v>0</v>
      </c>
      <c r="U64" s="264">
        <v>73600</v>
      </c>
      <c r="V64" s="264">
        <f t="shared" si="8"/>
        <v>0</v>
      </c>
      <c r="W64" s="264">
        <v>109428.57142857143</v>
      </c>
      <c r="X64" s="264">
        <f t="shared" si="9"/>
        <v>0</v>
      </c>
    </row>
    <row r="65" spans="1:24">
      <c r="A65" s="262">
        <v>484</v>
      </c>
      <c r="B65" s="268" t="s">
        <v>585</v>
      </c>
      <c r="C65" s="264">
        <v>65000</v>
      </c>
      <c r="D65" s="264">
        <v>92857.14285714287</v>
      </c>
      <c r="E65" s="264">
        <v>65700</v>
      </c>
      <c r="F65" s="264">
        <f t="shared" si="0"/>
        <v>700</v>
      </c>
      <c r="G65" s="264">
        <v>93857.14285714287</v>
      </c>
      <c r="H65" s="264">
        <f t="shared" si="1"/>
        <v>1000</v>
      </c>
      <c r="I65" s="264">
        <v>65700</v>
      </c>
      <c r="J65" s="264">
        <f t="shared" si="2"/>
        <v>0</v>
      </c>
      <c r="K65" s="264">
        <v>95285.71428571429</v>
      </c>
      <c r="L65" s="264">
        <f t="shared" si="3"/>
        <v>1428.5714285714203</v>
      </c>
      <c r="M65" s="264">
        <v>65700</v>
      </c>
      <c r="N65" s="264">
        <f t="shared" si="4"/>
        <v>0</v>
      </c>
      <c r="O65" s="264">
        <v>98142.857142857145</v>
      </c>
      <c r="P65" s="264">
        <f t="shared" si="5"/>
        <v>2857.1428571428551</v>
      </c>
      <c r="Q65" s="264">
        <v>65700</v>
      </c>
      <c r="R65" s="264">
        <f t="shared" si="6"/>
        <v>0</v>
      </c>
      <c r="S65" s="264">
        <v>98142.857142857145</v>
      </c>
      <c r="T65" s="264">
        <f t="shared" si="7"/>
        <v>0</v>
      </c>
      <c r="U65" s="264">
        <v>65700</v>
      </c>
      <c r="V65" s="264">
        <f t="shared" si="8"/>
        <v>0</v>
      </c>
      <c r="W65" s="264">
        <v>98142.857142857145</v>
      </c>
      <c r="X65" s="264">
        <f t="shared" si="9"/>
        <v>0</v>
      </c>
    </row>
    <row r="66" spans="1:24">
      <c r="A66" s="265">
        <v>485</v>
      </c>
      <c r="B66" s="268" t="s">
        <v>586</v>
      </c>
      <c r="C66" s="264">
        <v>64600</v>
      </c>
      <c r="D66" s="264">
        <v>92285.71428571429</v>
      </c>
      <c r="E66" s="264">
        <v>64600</v>
      </c>
      <c r="F66" s="264">
        <f t="shared" si="0"/>
        <v>0</v>
      </c>
      <c r="G66" s="264">
        <v>92285.71428571429</v>
      </c>
      <c r="H66" s="264">
        <f t="shared" si="1"/>
        <v>0</v>
      </c>
      <c r="I66" s="264">
        <v>64600</v>
      </c>
      <c r="J66" s="264">
        <f t="shared" si="2"/>
        <v>0</v>
      </c>
      <c r="K66" s="264">
        <v>93714.285714285725</v>
      </c>
      <c r="L66" s="264">
        <f t="shared" si="3"/>
        <v>1428.5714285714348</v>
      </c>
      <c r="M66" s="264">
        <v>64600</v>
      </c>
      <c r="N66" s="264">
        <f t="shared" si="4"/>
        <v>0</v>
      </c>
      <c r="O66" s="264">
        <v>96571.42857142858</v>
      </c>
      <c r="P66" s="264">
        <f t="shared" si="5"/>
        <v>2857.1428571428551</v>
      </c>
      <c r="Q66" s="264">
        <v>64600</v>
      </c>
      <c r="R66" s="264">
        <f t="shared" si="6"/>
        <v>0</v>
      </c>
      <c r="S66" s="264">
        <v>96571.42857142858</v>
      </c>
      <c r="T66" s="264">
        <f t="shared" si="7"/>
        <v>0</v>
      </c>
      <c r="U66" s="264">
        <v>64600</v>
      </c>
      <c r="V66" s="264">
        <f t="shared" si="8"/>
        <v>0</v>
      </c>
      <c r="W66" s="264">
        <v>96571.42857142858</v>
      </c>
      <c r="X66" s="264">
        <f t="shared" si="9"/>
        <v>0</v>
      </c>
    </row>
    <row r="67" spans="1:24">
      <c r="A67" s="265">
        <v>486</v>
      </c>
      <c r="B67" s="269" t="s">
        <v>587</v>
      </c>
      <c r="C67" s="264">
        <v>65400</v>
      </c>
      <c r="D67" s="264">
        <v>93428.571428571435</v>
      </c>
      <c r="E67" s="264">
        <v>65400</v>
      </c>
      <c r="F67" s="264">
        <f t="shared" si="0"/>
        <v>0</v>
      </c>
      <c r="G67" s="264">
        <v>93428.571428571435</v>
      </c>
      <c r="H67" s="264">
        <f t="shared" si="1"/>
        <v>0</v>
      </c>
      <c r="I67" s="264">
        <v>65400</v>
      </c>
      <c r="J67" s="264">
        <f t="shared" si="2"/>
        <v>0</v>
      </c>
      <c r="K67" s="264">
        <v>94857.14285714287</v>
      </c>
      <c r="L67" s="264">
        <f t="shared" si="3"/>
        <v>1428.5714285714348</v>
      </c>
      <c r="M67" s="264">
        <v>65400</v>
      </c>
      <c r="N67" s="264">
        <f t="shared" si="4"/>
        <v>0</v>
      </c>
      <c r="O67" s="264">
        <v>97714.285714285725</v>
      </c>
      <c r="P67" s="264">
        <f t="shared" si="5"/>
        <v>2857.1428571428551</v>
      </c>
      <c r="Q67" s="264">
        <v>65400</v>
      </c>
      <c r="R67" s="264">
        <f t="shared" si="6"/>
        <v>0</v>
      </c>
      <c r="S67" s="264">
        <v>97714.285714285725</v>
      </c>
      <c r="T67" s="264">
        <f t="shared" si="7"/>
        <v>0</v>
      </c>
      <c r="U67" s="264">
        <v>65400</v>
      </c>
      <c r="V67" s="264">
        <f t="shared" si="8"/>
        <v>0</v>
      </c>
      <c r="W67" s="264">
        <v>97714.285714285725</v>
      </c>
      <c r="X67" s="264">
        <f t="shared" si="9"/>
        <v>0</v>
      </c>
    </row>
    <row r="68" spans="1:24">
      <c r="A68" s="265">
        <v>487</v>
      </c>
      <c r="B68" s="269" t="s">
        <v>588</v>
      </c>
      <c r="C68" s="264">
        <v>81100</v>
      </c>
      <c r="D68" s="264">
        <v>114428.57142857143</v>
      </c>
      <c r="E68" s="264">
        <v>81100</v>
      </c>
      <c r="F68" s="264">
        <f t="shared" si="0"/>
        <v>0</v>
      </c>
      <c r="G68" s="264">
        <v>114428.57142857143</v>
      </c>
      <c r="H68" s="264">
        <f t="shared" si="1"/>
        <v>0</v>
      </c>
      <c r="I68" s="264">
        <v>81100</v>
      </c>
      <c r="J68" s="264">
        <f t="shared" si="2"/>
        <v>0</v>
      </c>
      <c r="K68" s="264">
        <v>117285.71428571429</v>
      </c>
      <c r="L68" s="264">
        <f t="shared" si="3"/>
        <v>2857.1428571428551</v>
      </c>
      <c r="M68" s="264">
        <v>81100</v>
      </c>
      <c r="N68" s="264">
        <f t="shared" si="4"/>
        <v>0</v>
      </c>
      <c r="O68" s="264">
        <v>120142.85714285714</v>
      </c>
      <c r="P68" s="264">
        <f t="shared" si="5"/>
        <v>2857.1428571428551</v>
      </c>
      <c r="Q68" s="264">
        <v>81100</v>
      </c>
      <c r="R68" s="264">
        <f t="shared" si="6"/>
        <v>0</v>
      </c>
      <c r="S68" s="264">
        <v>120142.85714285714</v>
      </c>
      <c r="T68" s="264">
        <f t="shared" si="7"/>
        <v>0</v>
      </c>
      <c r="U68" s="264">
        <v>81100</v>
      </c>
      <c r="V68" s="264">
        <f t="shared" si="8"/>
        <v>0</v>
      </c>
      <c r="W68" s="264">
        <v>120142.85714285714</v>
      </c>
      <c r="X68" s="264">
        <f t="shared" si="9"/>
        <v>0</v>
      </c>
    </row>
    <row r="69" spans="1:24">
      <c r="A69" s="262">
        <v>488</v>
      </c>
      <c r="B69" s="268" t="s">
        <v>589</v>
      </c>
      <c r="C69" s="264">
        <v>73100</v>
      </c>
      <c r="D69" s="264">
        <v>104428.57142857143</v>
      </c>
      <c r="E69" s="264">
        <v>73100</v>
      </c>
      <c r="F69" s="264">
        <f t="shared" si="0"/>
        <v>0</v>
      </c>
      <c r="G69" s="264">
        <v>104428.57142857143</v>
      </c>
      <c r="H69" s="264">
        <f t="shared" si="1"/>
        <v>0</v>
      </c>
      <c r="I69" s="264">
        <v>73100</v>
      </c>
      <c r="J69" s="264">
        <f t="shared" si="2"/>
        <v>0</v>
      </c>
      <c r="K69" s="264">
        <v>105857.14285714287</v>
      </c>
      <c r="L69" s="264">
        <f t="shared" si="3"/>
        <v>1428.5714285714348</v>
      </c>
      <c r="M69" s="264">
        <v>73100</v>
      </c>
      <c r="N69" s="264">
        <f t="shared" si="4"/>
        <v>0</v>
      </c>
      <c r="O69" s="264">
        <v>108714.28571428572</v>
      </c>
      <c r="P69" s="264">
        <f t="shared" si="5"/>
        <v>2857.1428571428551</v>
      </c>
      <c r="Q69" s="264">
        <v>73100</v>
      </c>
      <c r="R69" s="264">
        <f t="shared" si="6"/>
        <v>0</v>
      </c>
      <c r="S69" s="264">
        <v>108714.28571428572</v>
      </c>
      <c r="T69" s="264">
        <f t="shared" si="7"/>
        <v>0</v>
      </c>
      <c r="U69" s="264">
        <v>73100</v>
      </c>
      <c r="V69" s="264">
        <f t="shared" si="8"/>
        <v>0</v>
      </c>
      <c r="W69" s="264">
        <v>108714.28571428572</v>
      </c>
      <c r="X69" s="264">
        <f t="shared" si="9"/>
        <v>0</v>
      </c>
    </row>
    <row r="70" spans="1:24">
      <c r="A70" s="265">
        <v>489</v>
      </c>
      <c r="B70" s="269" t="s">
        <v>815</v>
      </c>
      <c r="C70" s="264">
        <v>72200</v>
      </c>
      <c r="D70" s="264">
        <v>103142.85714285714</v>
      </c>
      <c r="E70" s="264">
        <v>72200</v>
      </c>
      <c r="F70" s="264">
        <f t="shared" ref="F70:F97" si="10">E70-C70</f>
        <v>0</v>
      </c>
      <c r="G70" s="264">
        <v>103142.85714285714</v>
      </c>
      <c r="H70" s="264">
        <f t="shared" ref="H70:H97" si="11">G70-D70</f>
        <v>0</v>
      </c>
      <c r="I70" s="264">
        <v>72200</v>
      </c>
      <c r="J70" s="264">
        <f t="shared" ref="J70:J97" si="12">I70-E70</f>
        <v>0</v>
      </c>
      <c r="K70" s="264">
        <v>104571.42857142858</v>
      </c>
      <c r="L70" s="264">
        <f t="shared" ref="L70:L97" si="13">K70-G70</f>
        <v>1428.5714285714348</v>
      </c>
      <c r="M70" s="264">
        <v>72200</v>
      </c>
      <c r="N70" s="264">
        <f t="shared" ref="N70:N97" si="14">M70-I70</f>
        <v>0</v>
      </c>
      <c r="O70" s="264">
        <v>104571.42857142858</v>
      </c>
      <c r="P70" s="264">
        <f t="shared" ref="P70:P97" si="15">O70-K70</f>
        <v>0</v>
      </c>
      <c r="Q70" s="264">
        <v>72200</v>
      </c>
      <c r="R70" s="264">
        <f t="shared" ref="R70:R97" si="16">Q70-M70</f>
        <v>0</v>
      </c>
      <c r="S70" s="264">
        <v>104571.42857142858</v>
      </c>
      <c r="T70" s="264">
        <f t="shared" ref="T70:T97" si="17">S70-O70</f>
        <v>0</v>
      </c>
      <c r="U70" s="264">
        <v>72200</v>
      </c>
      <c r="V70" s="264">
        <f t="shared" ref="V70:V97" si="18">U70-Q70</f>
        <v>0</v>
      </c>
      <c r="W70" s="264">
        <v>104571.42857142858</v>
      </c>
      <c r="X70" s="264">
        <f t="shared" ref="X70:X97" si="19">W70-S70</f>
        <v>0</v>
      </c>
    </row>
    <row r="71" spans="1:24">
      <c r="A71" s="265">
        <v>490</v>
      </c>
      <c r="B71" s="268" t="s">
        <v>590</v>
      </c>
      <c r="C71" s="264">
        <v>74900</v>
      </c>
      <c r="D71" s="264">
        <v>107000</v>
      </c>
      <c r="E71" s="264">
        <v>74900</v>
      </c>
      <c r="F71" s="264">
        <f t="shared" si="10"/>
        <v>0</v>
      </c>
      <c r="G71" s="264">
        <v>107000</v>
      </c>
      <c r="H71" s="264">
        <f t="shared" si="11"/>
        <v>0</v>
      </c>
      <c r="I71" s="264">
        <v>74900</v>
      </c>
      <c r="J71" s="264">
        <f t="shared" si="12"/>
        <v>0</v>
      </c>
      <c r="K71" s="264">
        <v>108428.57142857143</v>
      </c>
      <c r="L71" s="264">
        <f t="shared" si="13"/>
        <v>1428.5714285714348</v>
      </c>
      <c r="M71" s="264">
        <v>74900</v>
      </c>
      <c r="N71" s="264">
        <f t="shared" si="14"/>
        <v>0</v>
      </c>
      <c r="O71" s="264">
        <v>111285.71428571429</v>
      </c>
      <c r="P71" s="264">
        <f t="shared" si="15"/>
        <v>2857.1428571428551</v>
      </c>
      <c r="Q71" s="264">
        <v>74900</v>
      </c>
      <c r="R71" s="264">
        <f t="shared" si="16"/>
        <v>0</v>
      </c>
      <c r="S71" s="264">
        <v>111285.71428571429</v>
      </c>
      <c r="T71" s="264">
        <f t="shared" si="17"/>
        <v>0</v>
      </c>
      <c r="U71" s="264">
        <v>74900</v>
      </c>
      <c r="V71" s="264">
        <f t="shared" si="18"/>
        <v>0</v>
      </c>
      <c r="W71" s="264">
        <v>111285.71428571429</v>
      </c>
      <c r="X71" s="264">
        <f t="shared" si="19"/>
        <v>0</v>
      </c>
    </row>
    <row r="72" spans="1:24">
      <c r="A72" s="265">
        <v>491</v>
      </c>
      <c r="B72" s="268" t="s">
        <v>830</v>
      </c>
      <c r="C72" s="264">
        <v>67900</v>
      </c>
      <c r="D72" s="264">
        <v>97000</v>
      </c>
      <c r="E72" s="264">
        <v>67900</v>
      </c>
      <c r="F72" s="264">
        <f t="shared" si="10"/>
        <v>0</v>
      </c>
      <c r="G72" s="264">
        <v>97000</v>
      </c>
      <c r="H72" s="264">
        <f t="shared" si="11"/>
        <v>0</v>
      </c>
      <c r="I72" s="264">
        <v>67900</v>
      </c>
      <c r="J72" s="264">
        <f t="shared" si="12"/>
        <v>0</v>
      </c>
      <c r="K72" s="264">
        <v>98428.571428571435</v>
      </c>
      <c r="L72" s="264">
        <f t="shared" si="13"/>
        <v>1428.5714285714348</v>
      </c>
      <c r="M72" s="264">
        <v>67900</v>
      </c>
      <c r="N72" s="264">
        <f t="shared" si="14"/>
        <v>0</v>
      </c>
      <c r="O72" s="264">
        <v>101285.71428571429</v>
      </c>
      <c r="P72" s="264">
        <f t="shared" si="15"/>
        <v>2857.1428571428551</v>
      </c>
      <c r="Q72" s="264">
        <v>67900</v>
      </c>
      <c r="R72" s="264">
        <f t="shared" si="16"/>
        <v>0</v>
      </c>
      <c r="S72" s="264">
        <v>101285.71428571429</v>
      </c>
      <c r="T72" s="264">
        <f t="shared" si="17"/>
        <v>0</v>
      </c>
      <c r="U72" s="264">
        <v>67900</v>
      </c>
      <c r="V72" s="264">
        <f t="shared" si="18"/>
        <v>0</v>
      </c>
      <c r="W72" s="264">
        <v>101285.71428571429</v>
      </c>
      <c r="X72" s="264">
        <f t="shared" si="19"/>
        <v>0</v>
      </c>
    </row>
    <row r="73" spans="1:24">
      <c r="A73" s="265">
        <v>492</v>
      </c>
      <c r="B73" s="269" t="s">
        <v>591</v>
      </c>
      <c r="C73" s="264">
        <v>70100</v>
      </c>
      <c r="D73" s="264">
        <v>100142.85714285714</v>
      </c>
      <c r="E73" s="264">
        <v>70100</v>
      </c>
      <c r="F73" s="264">
        <f t="shared" si="10"/>
        <v>0</v>
      </c>
      <c r="G73" s="264">
        <v>100142.85714285714</v>
      </c>
      <c r="H73" s="264">
        <f t="shared" si="11"/>
        <v>0</v>
      </c>
      <c r="I73" s="264">
        <v>70100</v>
      </c>
      <c r="J73" s="264">
        <f t="shared" si="12"/>
        <v>0</v>
      </c>
      <c r="K73" s="264">
        <v>101571.42857142858</v>
      </c>
      <c r="L73" s="264">
        <f t="shared" si="13"/>
        <v>1428.5714285714348</v>
      </c>
      <c r="M73" s="264">
        <v>70100</v>
      </c>
      <c r="N73" s="264">
        <f t="shared" si="14"/>
        <v>0</v>
      </c>
      <c r="O73" s="264">
        <v>104428.57142857143</v>
      </c>
      <c r="P73" s="264">
        <f t="shared" si="15"/>
        <v>2857.1428571428551</v>
      </c>
      <c r="Q73" s="264">
        <v>70100</v>
      </c>
      <c r="R73" s="264">
        <f t="shared" si="16"/>
        <v>0</v>
      </c>
      <c r="S73" s="264">
        <v>104428.57142857143</v>
      </c>
      <c r="T73" s="264">
        <f t="shared" si="17"/>
        <v>0</v>
      </c>
      <c r="U73" s="264">
        <v>70100</v>
      </c>
      <c r="V73" s="264">
        <f t="shared" si="18"/>
        <v>0</v>
      </c>
      <c r="W73" s="264">
        <v>104428.57142857143</v>
      </c>
      <c r="X73" s="264">
        <f t="shared" si="19"/>
        <v>0</v>
      </c>
    </row>
    <row r="74" spans="1:24">
      <c r="A74" s="265">
        <v>493</v>
      </c>
      <c r="B74" s="269" t="s">
        <v>592</v>
      </c>
      <c r="C74" s="264">
        <v>48250</v>
      </c>
      <c r="D74" s="264">
        <v>68928.571428571435</v>
      </c>
      <c r="E74" s="264">
        <v>48250</v>
      </c>
      <c r="F74" s="264">
        <f t="shared" si="10"/>
        <v>0</v>
      </c>
      <c r="G74" s="264">
        <v>68928.571428571435</v>
      </c>
      <c r="H74" s="264">
        <f t="shared" si="11"/>
        <v>0</v>
      </c>
      <c r="I74" s="264">
        <v>48250</v>
      </c>
      <c r="J74" s="264">
        <f t="shared" si="12"/>
        <v>0</v>
      </c>
      <c r="K74" s="264">
        <v>71785.71428571429</v>
      </c>
      <c r="L74" s="264">
        <f t="shared" si="13"/>
        <v>2857.1428571428551</v>
      </c>
      <c r="M74" s="264">
        <v>48250</v>
      </c>
      <c r="N74" s="264">
        <f t="shared" si="14"/>
        <v>0</v>
      </c>
      <c r="O74" s="264">
        <v>73214.285714285725</v>
      </c>
      <c r="P74" s="264">
        <f t="shared" si="15"/>
        <v>1428.5714285714348</v>
      </c>
      <c r="Q74" s="264">
        <v>48250</v>
      </c>
      <c r="R74" s="264">
        <f t="shared" si="16"/>
        <v>0</v>
      </c>
      <c r="S74" s="264">
        <v>73214.285714285725</v>
      </c>
      <c r="T74" s="264">
        <f t="shared" si="17"/>
        <v>0</v>
      </c>
      <c r="U74" s="264">
        <v>48250</v>
      </c>
      <c r="V74" s="264">
        <f t="shared" si="18"/>
        <v>0</v>
      </c>
      <c r="W74" s="264">
        <v>73214.285714285725</v>
      </c>
      <c r="X74" s="264">
        <f t="shared" si="19"/>
        <v>0</v>
      </c>
    </row>
    <row r="75" spans="1:24">
      <c r="A75" s="265">
        <v>494</v>
      </c>
      <c r="B75" s="269" t="s">
        <v>816</v>
      </c>
      <c r="C75" s="264">
        <v>33900</v>
      </c>
      <c r="D75" s="264">
        <v>48428.571428571435</v>
      </c>
      <c r="E75" s="264">
        <v>33900</v>
      </c>
      <c r="F75" s="264">
        <f t="shared" si="10"/>
        <v>0</v>
      </c>
      <c r="G75" s="264">
        <v>48428.571428571435</v>
      </c>
      <c r="H75" s="264">
        <f t="shared" si="11"/>
        <v>0</v>
      </c>
      <c r="I75" s="264">
        <v>33900</v>
      </c>
      <c r="J75" s="264">
        <f t="shared" si="12"/>
        <v>0</v>
      </c>
      <c r="K75" s="264">
        <v>57714.285714285717</v>
      </c>
      <c r="L75" s="264">
        <f t="shared" si="13"/>
        <v>9285.7142857142826</v>
      </c>
      <c r="M75" s="264">
        <v>33900</v>
      </c>
      <c r="N75" s="264">
        <f t="shared" si="14"/>
        <v>0</v>
      </c>
      <c r="O75" s="264">
        <v>57714.285714285717</v>
      </c>
      <c r="P75" s="264">
        <f t="shared" si="15"/>
        <v>0</v>
      </c>
      <c r="Q75" s="264">
        <v>33900</v>
      </c>
      <c r="R75" s="264">
        <f t="shared" si="16"/>
        <v>0</v>
      </c>
      <c r="S75" s="264">
        <v>57714.285714285717</v>
      </c>
      <c r="T75" s="264">
        <f t="shared" si="17"/>
        <v>0</v>
      </c>
      <c r="U75" s="264">
        <v>33900</v>
      </c>
      <c r="V75" s="264">
        <f t="shared" si="18"/>
        <v>0</v>
      </c>
      <c r="W75" s="264">
        <v>57714.285714285717</v>
      </c>
      <c r="X75" s="264">
        <f t="shared" si="19"/>
        <v>0</v>
      </c>
    </row>
    <row r="76" spans="1:24">
      <c r="A76" s="265">
        <v>495</v>
      </c>
      <c r="B76" s="269" t="s">
        <v>817</v>
      </c>
      <c r="C76" s="264">
        <v>53900</v>
      </c>
      <c r="D76" s="264">
        <v>77000</v>
      </c>
      <c r="E76" s="264">
        <v>52900</v>
      </c>
      <c r="F76" s="264">
        <f t="shared" si="10"/>
        <v>-1000</v>
      </c>
      <c r="G76" s="264">
        <v>75571.42857142858</v>
      </c>
      <c r="H76" s="264">
        <f t="shared" si="11"/>
        <v>-1428.5714285714203</v>
      </c>
      <c r="I76" s="264">
        <v>52900</v>
      </c>
      <c r="J76" s="264">
        <f t="shared" si="12"/>
        <v>0</v>
      </c>
      <c r="K76" s="264">
        <v>80571.42857142858</v>
      </c>
      <c r="L76" s="264">
        <f t="shared" si="13"/>
        <v>5000</v>
      </c>
      <c r="M76" s="264">
        <v>52900</v>
      </c>
      <c r="N76" s="264">
        <f t="shared" si="14"/>
        <v>0</v>
      </c>
      <c r="O76" s="264">
        <v>80571.42857142858</v>
      </c>
      <c r="P76" s="264">
        <f t="shared" si="15"/>
        <v>0</v>
      </c>
      <c r="Q76" s="264">
        <v>52900</v>
      </c>
      <c r="R76" s="264">
        <f t="shared" si="16"/>
        <v>0</v>
      </c>
      <c r="S76" s="264">
        <v>80571.42857142858</v>
      </c>
      <c r="T76" s="264">
        <f t="shared" si="17"/>
        <v>0</v>
      </c>
      <c r="U76" s="264">
        <v>52900</v>
      </c>
      <c r="V76" s="264">
        <f t="shared" si="18"/>
        <v>0</v>
      </c>
      <c r="W76" s="264">
        <v>80571.42857142858</v>
      </c>
      <c r="X76" s="264">
        <f t="shared" si="19"/>
        <v>0</v>
      </c>
    </row>
    <row r="77" spans="1:24">
      <c r="A77" s="265">
        <v>496</v>
      </c>
      <c r="B77" s="269" t="s">
        <v>593</v>
      </c>
      <c r="C77" s="264">
        <v>78400</v>
      </c>
      <c r="D77" s="264">
        <v>112000</v>
      </c>
      <c r="E77" s="264">
        <v>78400</v>
      </c>
      <c r="F77" s="264">
        <f t="shared" si="10"/>
        <v>0</v>
      </c>
      <c r="G77" s="264">
        <v>112000</v>
      </c>
      <c r="H77" s="264">
        <f t="shared" si="11"/>
        <v>0</v>
      </c>
      <c r="I77" s="264">
        <v>78400</v>
      </c>
      <c r="J77" s="264">
        <f t="shared" si="12"/>
        <v>0</v>
      </c>
      <c r="K77" s="264">
        <v>112000</v>
      </c>
      <c r="L77" s="264">
        <f t="shared" si="13"/>
        <v>0</v>
      </c>
      <c r="M77" s="264">
        <v>78400</v>
      </c>
      <c r="N77" s="264">
        <f t="shared" si="14"/>
        <v>0</v>
      </c>
      <c r="O77" s="264">
        <v>112000</v>
      </c>
      <c r="P77" s="264">
        <f t="shared" si="15"/>
        <v>0</v>
      </c>
      <c r="Q77" s="264">
        <v>78400</v>
      </c>
      <c r="R77" s="264">
        <f t="shared" si="16"/>
        <v>0</v>
      </c>
      <c r="S77" s="264">
        <v>112000</v>
      </c>
      <c r="T77" s="264">
        <f t="shared" si="17"/>
        <v>0</v>
      </c>
      <c r="U77" s="264">
        <v>78400</v>
      </c>
      <c r="V77" s="264">
        <f t="shared" si="18"/>
        <v>0</v>
      </c>
      <c r="W77" s="264">
        <v>112000</v>
      </c>
      <c r="X77" s="264">
        <f t="shared" si="19"/>
        <v>0</v>
      </c>
    </row>
    <row r="78" spans="1:24">
      <c r="A78" s="265">
        <v>497</v>
      </c>
      <c r="B78" s="268" t="s">
        <v>818</v>
      </c>
      <c r="C78" s="264">
        <v>75200</v>
      </c>
      <c r="D78" s="264">
        <v>107428.57142857143</v>
      </c>
      <c r="E78" s="264">
        <v>75200</v>
      </c>
      <c r="F78" s="264">
        <f t="shared" si="10"/>
        <v>0</v>
      </c>
      <c r="G78" s="264">
        <v>107428.57142857143</v>
      </c>
      <c r="H78" s="264">
        <f t="shared" si="11"/>
        <v>0</v>
      </c>
      <c r="I78" s="264">
        <v>75200</v>
      </c>
      <c r="J78" s="264">
        <f t="shared" si="12"/>
        <v>0</v>
      </c>
      <c r="K78" s="264">
        <v>107428.57142857143</v>
      </c>
      <c r="L78" s="264">
        <f t="shared" si="13"/>
        <v>0</v>
      </c>
      <c r="M78" s="264">
        <v>75200</v>
      </c>
      <c r="N78" s="264">
        <f t="shared" si="14"/>
        <v>0</v>
      </c>
      <c r="O78" s="264">
        <v>107428.57142857143</v>
      </c>
      <c r="P78" s="264">
        <f t="shared" si="15"/>
        <v>0</v>
      </c>
      <c r="Q78" s="264">
        <v>75200</v>
      </c>
      <c r="R78" s="264">
        <f t="shared" si="16"/>
        <v>0</v>
      </c>
      <c r="S78" s="264">
        <v>107428.57142857143</v>
      </c>
      <c r="T78" s="264">
        <f t="shared" si="17"/>
        <v>0</v>
      </c>
      <c r="U78" s="264">
        <v>75200</v>
      </c>
      <c r="V78" s="264">
        <f t="shared" si="18"/>
        <v>0</v>
      </c>
      <c r="W78" s="264">
        <v>107428.57142857143</v>
      </c>
      <c r="X78" s="264">
        <f t="shared" si="19"/>
        <v>0</v>
      </c>
    </row>
    <row r="79" spans="1:24">
      <c r="A79" s="265">
        <v>498</v>
      </c>
      <c r="B79" s="269" t="s">
        <v>828</v>
      </c>
      <c r="C79" s="264">
        <v>100350</v>
      </c>
      <c r="D79" s="264">
        <v>143357.14285714287</v>
      </c>
      <c r="E79" s="264">
        <v>100350</v>
      </c>
      <c r="F79" s="264">
        <f t="shared" si="10"/>
        <v>0</v>
      </c>
      <c r="G79" s="264">
        <v>143357.14285714287</v>
      </c>
      <c r="H79" s="264">
        <f t="shared" si="11"/>
        <v>0</v>
      </c>
      <c r="I79" s="264">
        <v>100350</v>
      </c>
      <c r="J79" s="264">
        <f t="shared" si="12"/>
        <v>0</v>
      </c>
      <c r="K79" s="264">
        <v>143357.14285714287</v>
      </c>
      <c r="L79" s="264">
        <f t="shared" si="13"/>
        <v>0</v>
      </c>
      <c r="M79" s="264">
        <v>100350</v>
      </c>
      <c r="N79" s="264">
        <f t="shared" si="14"/>
        <v>0</v>
      </c>
      <c r="O79" s="264">
        <v>149071.42857142858</v>
      </c>
      <c r="P79" s="264">
        <f t="shared" si="15"/>
        <v>5714.2857142857101</v>
      </c>
      <c r="Q79" s="264">
        <v>100350</v>
      </c>
      <c r="R79" s="264">
        <f t="shared" si="16"/>
        <v>0</v>
      </c>
      <c r="S79" s="264">
        <v>149071.42857142858</v>
      </c>
      <c r="T79" s="264">
        <f t="shared" si="17"/>
        <v>0</v>
      </c>
      <c r="U79" s="264">
        <v>100350</v>
      </c>
      <c r="V79" s="264">
        <f t="shared" si="18"/>
        <v>0</v>
      </c>
      <c r="W79" s="264">
        <v>150500</v>
      </c>
      <c r="X79" s="264">
        <f t="shared" si="19"/>
        <v>1428.5714285714203</v>
      </c>
    </row>
    <row r="80" spans="1:24">
      <c r="A80" s="265">
        <v>499</v>
      </c>
      <c r="B80" s="269" t="s">
        <v>819</v>
      </c>
      <c r="C80" s="264">
        <v>28600</v>
      </c>
      <c r="D80" s="264">
        <v>42285.71428571429</v>
      </c>
      <c r="E80" s="264">
        <v>28600</v>
      </c>
      <c r="F80" s="264">
        <f t="shared" si="10"/>
        <v>0</v>
      </c>
      <c r="G80" s="264">
        <v>42285.71428571429</v>
      </c>
      <c r="H80" s="264">
        <f t="shared" si="11"/>
        <v>0</v>
      </c>
      <c r="I80" s="264">
        <v>28600</v>
      </c>
      <c r="J80" s="264">
        <f t="shared" si="12"/>
        <v>0</v>
      </c>
      <c r="K80" s="264">
        <v>46571.428571428572</v>
      </c>
      <c r="L80" s="264">
        <f t="shared" si="13"/>
        <v>4285.7142857142826</v>
      </c>
      <c r="M80" s="264">
        <v>28600</v>
      </c>
      <c r="N80" s="264">
        <f t="shared" si="14"/>
        <v>0</v>
      </c>
      <c r="O80" s="264">
        <v>46571.428571428572</v>
      </c>
      <c r="P80" s="264">
        <f t="shared" si="15"/>
        <v>0</v>
      </c>
      <c r="Q80" s="264">
        <v>28600</v>
      </c>
      <c r="R80" s="264">
        <f t="shared" si="16"/>
        <v>0</v>
      </c>
      <c r="S80" s="264">
        <v>46571.428571428572</v>
      </c>
      <c r="T80" s="264">
        <f t="shared" si="17"/>
        <v>0</v>
      </c>
      <c r="U80" s="264">
        <v>28600</v>
      </c>
      <c r="V80" s="264">
        <f t="shared" si="18"/>
        <v>0</v>
      </c>
      <c r="W80" s="264">
        <v>46571.428571428572</v>
      </c>
      <c r="X80" s="264">
        <f t="shared" si="19"/>
        <v>0</v>
      </c>
    </row>
    <row r="81" spans="1:24">
      <c r="A81" s="265">
        <v>500</v>
      </c>
      <c r="B81" s="269" t="s">
        <v>820</v>
      </c>
      <c r="C81" s="264">
        <v>29600</v>
      </c>
      <c r="D81" s="264">
        <v>43714.285714285717</v>
      </c>
      <c r="E81" s="264">
        <v>29600</v>
      </c>
      <c r="F81" s="264">
        <f t="shared" si="10"/>
        <v>0</v>
      </c>
      <c r="G81" s="264">
        <v>43714.285714285717</v>
      </c>
      <c r="H81" s="264">
        <f t="shared" si="11"/>
        <v>0</v>
      </c>
      <c r="I81" s="264">
        <v>29600</v>
      </c>
      <c r="J81" s="264">
        <f t="shared" si="12"/>
        <v>0</v>
      </c>
      <c r="K81" s="264">
        <v>50857.142857142862</v>
      </c>
      <c r="L81" s="264">
        <f t="shared" si="13"/>
        <v>7142.8571428571449</v>
      </c>
      <c r="M81" s="264">
        <v>29600</v>
      </c>
      <c r="N81" s="264">
        <f t="shared" si="14"/>
        <v>0</v>
      </c>
      <c r="O81" s="264">
        <v>50857.142857142862</v>
      </c>
      <c r="P81" s="264">
        <f t="shared" si="15"/>
        <v>0</v>
      </c>
      <c r="Q81" s="264">
        <v>29600</v>
      </c>
      <c r="R81" s="264">
        <f t="shared" si="16"/>
        <v>0</v>
      </c>
      <c r="S81" s="264">
        <v>50857.142857142862</v>
      </c>
      <c r="T81" s="264">
        <f t="shared" si="17"/>
        <v>0</v>
      </c>
      <c r="U81" s="264">
        <v>29600</v>
      </c>
      <c r="V81" s="264">
        <f t="shared" si="18"/>
        <v>0</v>
      </c>
      <c r="W81" s="264">
        <v>50857.142857142862</v>
      </c>
      <c r="X81" s="264">
        <f t="shared" si="19"/>
        <v>0</v>
      </c>
    </row>
    <row r="82" spans="1:24">
      <c r="A82" s="265">
        <v>501</v>
      </c>
      <c r="B82" s="269" t="s">
        <v>821</v>
      </c>
      <c r="C82" s="264">
        <v>27500</v>
      </c>
      <c r="D82" s="264">
        <v>40714.285714285717</v>
      </c>
      <c r="E82" s="264">
        <v>27500</v>
      </c>
      <c r="F82" s="264">
        <f t="shared" si="10"/>
        <v>0</v>
      </c>
      <c r="G82" s="264">
        <v>40714.285714285717</v>
      </c>
      <c r="H82" s="264">
        <f t="shared" si="11"/>
        <v>0</v>
      </c>
      <c r="I82" s="264">
        <v>27500</v>
      </c>
      <c r="J82" s="264">
        <f t="shared" si="12"/>
        <v>0</v>
      </c>
      <c r="K82" s="264">
        <v>46428.571428571435</v>
      </c>
      <c r="L82" s="264">
        <f t="shared" si="13"/>
        <v>5714.2857142857174</v>
      </c>
      <c r="M82" s="264">
        <v>27500</v>
      </c>
      <c r="N82" s="264">
        <f t="shared" si="14"/>
        <v>0</v>
      </c>
      <c r="O82" s="264">
        <v>46428.571428571435</v>
      </c>
      <c r="P82" s="264">
        <f t="shared" si="15"/>
        <v>0</v>
      </c>
      <c r="Q82" s="264">
        <v>27500</v>
      </c>
      <c r="R82" s="264">
        <f t="shared" si="16"/>
        <v>0</v>
      </c>
      <c r="S82" s="264">
        <v>46428.571428571435</v>
      </c>
      <c r="T82" s="264">
        <f t="shared" si="17"/>
        <v>0</v>
      </c>
      <c r="U82" s="264">
        <v>27500</v>
      </c>
      <c r="V82" s="264">
        <f t="shared" si="18"/>
        <v>0</v>
      </c>
      <c r="W82" s="264">
        <v>46428.571428571435</v>
      </c>
      <c r="X82" s="264">
        <f t="shared" si="19"/>
        <v>0</v>
      </c>
    </row>
    <row r="83" spans="1:24">
      <c r="A83" s="265">
        <v>502</v>
      </c>
      <c r="B83" s="268" t="s">
        <v>822</v>
      </c>
      <c r="C83" s="264">
        <v>27500</v>
      </c>
      <c r="D83" s="264">
        <v>40714.285714285717</v>
      </c>
      <c r="E83" s="264">
        <v>27500</v>
      </c>
      <c r="F83" s="264">
        <f t="shared" si="10"/>
        <v>0</v>
      </c>
      <c r="G83" s="264">
        <v>40714.285714285717</v>
      </c>
      <c r="H83" s="264">
        <f t="shared" si="11"/>
        <v>0</v>
      </c>
      <c r="I83" s="264">
        <v>27500</v>
      </c>
      <c r="J83" s="264">
        <f t="shared" si="12"/>
        <v>0</v>
      </c>
      <c r="K83" s="264">
        <v>46428.571428571435</v>
      </c>
      <c r="L83" s="264">
        <f t="shared" si="13"/>
        <v>5714.2857142857174</v>
      </c>
      <c r="M83" s="264">
        <v>27500</v>
      </c>
      <c r="N83" s="264">
        <f t="shared" si="14"/>
        <v>0</v>
      </c>
      <c r="O83" s="264">
        <v>46428.571428571435</v>
      </c>
      <c r="P83" s="264">
        <f t="shared" si="15"/>
        <v>0</v>
      </c>
      <c r="Q83" s="264">
        <v>27500</v>
      </c>
      <c r="R83" s="264">
        <f t="shared" si="16"/>
        <v>0</v>
      </c>
      <c r="S83" s="264">
        <v>46428.571428571435</v>
      </c>
      <c r="T83" s="264">
        <f t="shared" si="17"/>
        <v>0</v>
      </c>
      <c r="U83" s="264">
        <v>27500</v>
      </c>
      <c r="V83" s="264">
        <f t="shared" si="18"/>
        <v>0</v>
      </c>
      <c r="W83" s="264">
        <v>46428.571428571435</v>
      </c>
      <c r="X83" s="264">
        <f t="shared" si="19"/>
        <v>0</v>
      </c>
    </row>
    <row r="84" spans="1:24">
      <c r="A84" s="265">
        <v>503</v>
      </c>
      <c r="B84" s="268" t="s">
        <v>823</v>
      </c>
      <c r="C84" s="264">
        <v>30600</v>
      </c>
      <c r="D84" s="264">
        <v>45142.857142857145</v>
      </c>
      <c r="E84" s="264">
        <v>30600</v>
      </c>
      <c r="F84" s="264">
        <f t="shared" si="10"/>
        <v>0</v>
      </c>
      <c r="G84" s="264">
        <v>45142.857142857145</v>
      </c>
      <c r="H84" s="264">
        <f t="shared" si="11"/>
        <v>0</v>
      </c>
      <c r="I84" s="264">
        <v>30600</v>
      </c>
      <c r="J84" s="264">
        <f t="shared" si="12"/>
        <v>0</v>
      </c>
      <c r="K84" s="264">
        <v>52285.71428571429</v>
      </c>
      <c r="L84" s="264">
        <f t="shared" si="13"/>
        <v>7142.8571428571449</v>
      </c>
      <c r="M84" s="264">
        <v>30600</v>
      </c>
      <c r="N84" s="264">
        <f t="shared" si="14"/>
        <v>0</v>
      </c>
      <c r="O84" s="264">
        <v>52285.71428571429</v>
      </c>
      <c r="P84" s="264">
        <f t="shared" si="15"/>
        <v>0</v>
      </c>
      <c r="Q84" s="264">
        <v>30600</v>
      </c>
      <c r="R84" s="264">
        <f t="shared" si="16"/>
        <v>0</v>
      </c>
      <c r="S84" s="264">
        <v>52285.71428571429</v>
      </c>
      <c r="T84" s="264">
        <f t="shared" si="17"/>
        <v>0</v>
      </c>
      <c r="U84" s="264">
        <v>30600</v>
      </c>
      <c r="V84" s="264">
        <f t="shared" si="18"/>
        <v>0</v>
      </c>
      <c r="W84" s="264">
        <v>52285.71428571429</v>
      </c>
      <c r="X84" s="264">
        <f t="shared" si="19"/>
        <v>0</v>
      </c>
    </row>
    <row r="85" spans="1:24">
      <c r="A85" s="265">
        <v>504</v>
      </c>
      <c r="B85" s="269" t="s">
        <v>772</v>
      </c>
      <c r="C85" s="264">
        <v>27500</v>
      </c>
      <c r="D85" s="264">
        <v>40714.285714285717</v>
      </c>
      <c r="E85" s="264">
        <v>27500</v>
      </c>
      <c r="F85" s="264">
        <f t="shared" si="10"/>
        <v>0</v>
      </c>
      <c r="G85" s="264">
        <v>40714.285714285717</v>
      </c>
      <c r="H85" s="264">
        <f t="shared" si="11"/>
        <v>0</v>
      </c>
      <c r="I85" s="264">
        <v>27500</v>
      </c>
      <c r="J85" s="264">
        <f t="shared" si="12"/>
        <v>0</v>
      </c>
      <c r="K85" s="264">
        <v>43571.428571428572</v>
      </c>
      <c r="L85" s="264">
        <f t="shared" si="13"/>
        <v>2857.1428571428551</v>
      </c>
      <c r="M85" s="264">
        <v>27500</v>
      </c>
      <c r="N85" s="264">
        <f t="shared" si="14"/>
        <v>0</v>
      </c>
      <c r="O85" s="264">
        <v>43571.428571428572</v>
      </c>
      <c r="P85" s="264">
        <f t="shared" si="15"/>
        <v>0</v>
      </c>
      <c r="Q85" s="264">
        <v>27500</v>
      </c>
      <c r="R85" s="264">
        <f t="shared" si="16"/>
        <v>0</v>
      </c>
      <c r="S85" s="264">
        <v>43571.428571428572</v>
      </c>
      <c r="T85" s="264">
        <f t="shared" si="17"/>
        <v>0</v>
      </c>
      <c r="U85" s="264">
        <v>27500</v>
      </c>
      <c r="V85" s="264">
        <f t="shared" si="18"/>
        <v>0</v>
      </c>
      <c r="W85" s="264">
        <v>43571.428571428572</v>
      </c>
      <c r="X85" s="264">
        <f t="shared" si="19"/>
        <v>0</v>
      </c>
    </row>
    <row r="86" spans="1:24">
      <c r="A86" s="265">
        <v>505</v>
      </c>
      <c r="B86" s="269" t="s">
        <v>595</v>
      </c>
      <c r="C86" s="264">
        <v>28000</v>
      </c>
      <c r="D86" s="264">
        <v>41428.571428571435</v>
      </c>
      <c r="E86" s="264">
        <v>28000</v>
      </c>
      <c r="F86" s="264">
        <f t="shared" si="10"/>
        <v>0</v>
      </c>
      <c r="G86" s="264">
        <v>41428.571428571435</v>
      </c>
      <c r="H86" s="264">
        <f t="shared" si="11"/>
        <v>0</v>
      </c>
      <c r="I86" s="264">
        <v>28000</v>
      </c>
      <c r="J86" s="264">
        <f t="shared" si="12"/>
        <v>0</v>
      </c>
      <c r="K86" s="264">
        <v>44285.71428571429</v>
      </c>
      <c r="L86" s="264">
        <f t="shared" si="13"/>
        <v>2857.1428571428551</v>
      </c>
      <c r="M86" s="264">
        <v>28000</v>
      </c>
      <c r="N86" s="264">
        <f t="shared" si="14"/>
        <v>0</v>
      </c>
      <c r="O86" s="264">
        <v>44285.71428571429</v>
      </c>
      <c r="P86" s="264">
        <f t="shared" si="15"/>
        <v>0</v>
      </c>
      <c r="Q86" s="264">
        <v>28000</v>
      </c>
      <c r="R86" s="264">
        <f t="shared" si="16"/>
        <v>0</v>
      </c>
      <c r="S86" s="264">
        <v>44285.71428571429</v>
      </c>
      <c r="T86" s="264">
        <f t="shared" si="17"/>
        <v>0</v>
      </c>
      <c r="U86" s="264">
        <v>28000</v>
      </c>
      <c r="V86" s="264">
        <f t="shared" si="18"/>
        <v>0</v>
      </c>
      <c r="W86" s="264">
        <v>44285.71428571429</v>
      </c>
      <c r="X86" s="264">
        <f t="shared" si="19"/>
        <v>0</v>
      </c>
    </row>
    <row r="87" spans="1:24">
      <c r="A87" s="265">
        <v>506</v>
      </c>
      <c r="B87" s="269" t="s">
        <v>596</v>
      </c>
      <c r="C87" s="264">
        <v>27500</v>
      </c>
      <c r="D87" s="264">
        <v>40714.285714285717</v>
      </c>
      <c r="E87" s="264">
        <v>27500</v>
      </c>
      <c r="F87" s="264">
        <f t="shared" si="10"/>
        <v>0</v>
      </c>
      <c r="G87" s="264">
        <v>40714.285714285717</v>
      </c>
      <c r="H87" s="264">
        <f t="shared" si="11"/>
        <v>0</v>
      </c>
      <c r="I87" s="264">
        <v>27500</v>
      </c>
      <c r="J87" s="264">
        <f t="shared" si="12"/>
        <v>0</v>
      </c>
      <c r="K87" s="264">
        <v>43571.428571428572</v>
      </c>
      <c r="L87" s="264">
        <f t="shared" si="13"/>
        <v>2857.1428571428551</v>
      </c>
      <c r="M87" s="264">
        <v>27500</v>
      </c>
      <c r="N87" s="264">
        <f t="shared" si="14"/>
        <v>0</v>
      </c>
      <c r="O87" s="264">
        <v>43571.428571428572</v>
      </c>
      <c r="P87" s="264">
        <f t="shared" si="15"/>
        <v>0</v>
      </c>
      <c r="Q87" s="264">
        <v>27500</v>
      </c>
      <c r="R87" s="264">
        <f t="shared" si="16"/>
        <v>0</v>
      </c>
      <c r="S87" s="264">
        <v>43571.428571428572</v>
      </c>
      <c r="T87" s="264">
        <f t="shared" si="17"/>
        <v>0</v>
      </c>
      <c r="U87" s="264">
        <v>27500</v>
      </c>
      <c r="V87" s="264">
        <f t="shared" si="18"/>
        <v>0</v>
      </c>
      <c r="W87" s="264">
        <v>43571.428571428572</v>
      </c>
      <c r="X87" s="264">
        <f t="shared" si="19"/>
        <v>0</v>
      </c>
    </row>
    <row r="88" spans="1:24">
      <c r="A88" s="265">
        <v>507</v>
      </c>
      <c r="B88" s="269" t="s">
        <v>597</v>
      </c>
      <c r="C88" s="264">
        <v>27000</v>
      </c>
      <c r="D88" s="264">
        <v>40000</v>
      </c>
      <c r="E88" s="264">
        <v>27000</v>
      </c>
      <c r="F88" s="264">
        <f t="shared" si="10"/>
        <v>0</v>
      </c>
      <c r="G88" s="264">
        <v>40000</v>
      </c>
      <c r="H88" s="264">
        <f t="shared" si="11"/>
        <v>0</v>
      </c>
      <c r="I88" s="264">
        <v>27000</v>
      </c>
      <c r="J88" s="264">
        <f t="shared" si="12"/>
        <v>0</v>
      </c>
      <c r="K88" s="264">
        <v>42857.142857142862</v>
      </c>
      <c r="L88" s="264">
        <f t="shared" si="13"/>
        <v>2857.1428571428623</v>
      </c>
      <c r="M88" s="264">
        <v>27000</v>
      </c>
      <c r="N88" s="264">
        <f t="shared" si="14"/>
        <v>0</v>
      </c>
      <c r="O88" s="264">
        <v>42857.142857142862</v>
      </c>
      <c r="P88" s="264">
        <f t="shared" si="15"/>
        <v>0</v>
      </c>
      <c r="Q88" s="264">
        <v>27000</v>
      </c>
      <c r="R88" s="264">
        <f t="shared" si="16"/>
        <v>0</v>
      </c>
      <c r="S88" s="264">
        <v>42857.142857142862</v>
      </c>
      <c r="T88" s="264">
        <f t="shared" si="17"/>
        <v>0</v>
      </c>
      <c r="U88" s="264">
        <v>27000</v>
      </c>
      <c r="V88" s="264">
        <f t="shared" si="18"/>
        <v>0</v>
      </c>
      <c r="W88" s="264">
        <v>42857.142857142862</v>
      </c>
      <c r="X88" s="264">
        <f t="shared" si="19"/>
        <v>0</v>
      </c>
    </row>
    <row r="89" spans="1:24">
      <c r="A89" s="265">
        <v>508</v>
      </c>
      <c r="B89" s="269" t="s">
        <v>598</v>
      </c>
      <c r="C89" s="264">
        <v>27500</v>
      </c>
      <c r="D89" s="264">
        <v>40714.285714285717</v>
      </c>
      <c r="E89" s="264">
        <v>27500</v>
      </c>
      <c r="F89" s="264">
        <f t="shared" si="10"/>
        <v>0</v>
      </c>
      <c r="G89" s="264">
        <v>40714.285714285717</v>
      </c>
      <c r="H89" s="264">
        <f t="shared" si="11"/>
        <v>0</v>
      </c>
      <c r="I89" s="264">
        <v>27500</v>
      </c>
      <c r="J89" s="264">
        <f t="shared" si="12"/>
        <v>0</v>
      </c>
      <c r="K89" s="264">
        <v>43571.428571428572</v>
      </c>
      <c r="L89" s="264">
        <f t="shared" si="13"/>
        <v>2857.1428571428551</v>
      </c>
      <c r="M89" s="264">
        <v>27500</v>
      </c>
      <c r="N89" s="264">
        <f t="shared" si="14"/>
        <v>0</v>
      </c>
      <c r="O89" s="264">
        <v>43571.428571428572</v>
      </c>
      <c r="P89" s="264">
        <f t="shared" si="15"/>
        <v>0</v>
      </c>
      <c r="Q89" s="264">
        <v>27500</v>
      </c>
      <c r="R89" s="264">
        <f t="shared" si="16"/>
        <v>0</v>
      </c>
      <c r="S89" s="264">
        <v>43571.428571428572</v>
      </c>
      <c r="T89" s="264">
        <f t="shared" si="17"/>
        <v>0</v>
      </c>
      <c r="U89" s="264">
        <v>27500</v>
      </c>
      <c r="V89" s="264">
        <f t="shared" si="18"/>
        <v>0</v>
      </c>
      <c r="W89" s="264">
        <v>43571.428571428572</v>
      </c>
      <c r="X89" s="264">
        <f t="shared" si="19"/>
        <v>0</v>
      </c>
    </row>
    <row r="90" spans="1:24">
      <c r="A90" s="265">
        <v>509</v>
      </c>
      <c r="B90" s="269" t="s">
        <v>599</v>
      </c>
      <c r="C90" s="264">
        <v>27500</v>
      </c>
      <c r="D90" s="264">
        <v>40714.285714285717</v>
      </c>
      <c r="E90" s="264">
        <v>27500</v>
      </c>
      <c r="F90" s="264">
        <f t="shared" si="10"/>
        <v>0</v>
      </c>
      <c r="G90" s="264">
        <v>40714.285714285717</v>
      </c>
      <c r="H90" s="264">
        <f t="shared" si="11"/>
        <v>0</v>
      </c>
      <c r="I90" s="264">
        <v>27500</v>
      </c>
      <c r="J90" s="264">
        <f t="shared" si="12"/>
        <v>0</v>
      </c>
      <c r="K90" s="264">
        <v>43571.428571428572</v>
      </c>
      <c r="L90" s="264">
        <f t="shared" si="13"/>
        <v>2857.1428571428551</v>
      </c>
      <c r="M90" s="264">
        <v>27500</v>
      </c>
      <c r="N90" s="264">
        <f t="shared" si="14"/>
        <v>0</v>
      </c>
      <c r="O90" s="264">
        <v>43571.428571428572</v>
      </c>
      <c r="P90" s="264">
        <f t="shared" si="15"/>
        <v>0</v>
      </c>
      <c r="Q90" s="264">
        <v>27500</v>
      </c>
      <c r="R90" s="264">
        <f t="shared" si="16"/>
        <v>0</v>
      </c>
      <c r="S90" s="264">
        <v>43571.428571428572</v>
      </c>
      <c r="T90" s="264">
        <f t="shared" si="17"/>
        <v>0</v>
      </c>
      <c r="U90" s="264">
        <v>27500</v>
      </c>
      <c r="V90" s="264">
        <f t="shared" si="18"/>
        <v>0</v>
      </c>
      <c r="W90" s="264">
        <v>43571.428571428572</v>
      </c>
      <c r="X90" s="264">
        <f t="shared" si="19"/>
        <v>0</v>
      </c>
    </row>
    <row r="91" spans="1:24">
      <c r="A91" s="265">
        <v>510</v>
      </c>
      <c r="B91" s="268" t="s">
        <v>829</v>
      </c>
      <c r="C91" s="264">
        <v>28000</v>
      </c>
      <c r="D91" s="264">
        <v>41428.571428571435</v>
      </c>
      <c r="E91" s="264">
        <v>28000</v>
      </c>
      <c r="F91" s="264">
        <f t="shared" si="10"/>
        <v>0</v>
      </c>
      <c r="G91" s="264">
        <v>41428.571428571435</v>
      </c>
      <c r="H91" s="264">
        <f t="shared" si="11"/>
        <v>0</v>
      </c>
      <c r="I91" s="264">
        <v>28000</v>
      </c>
      <c r="J91" s="264">
        <f t="shared" si="12"/>
        <v>0</v>
      </c>
      <c r="K91" s="264">
        <v>44285.71428571429</v>
      </c>
      <c r="L91" s="264">
        <f t="shared" si="13"/>
        <v>2857.1428571428551</v>
      </c>
      <c r="M91" s="264">
        <v>28000</v>
      </c>
      <c r="N91" s="264">
        <f t="shared" si="14"/>
        <v>0</v>
      </c>
      <c r="O91" s="264">
        <v>44285.71428571429</v>
      </c>
      <c r="P91" s="264">
        <f t="shared" si="15"/>
        <v>0</v>
      </c>
      <c r="Q91" s="264">
        <v>28000</v>
      </c>
      <c r="R91" s="264">
        <f t="shared" si="16"/>
        <v>0</v>
      </c>
      <c r="S91" s="264">
        <v>44285.71428571429</v>
      </c>
      <c r="T91" s="264">
        <f t="shared" si="17"/>
        <v>0</v>
      </c>
      <c r="U91" s="264">
        <v>28000</v>
      </c>
      <c r="V91" s="264">
        <f t="shared" si="18"/>
        <v>0</v>
      </c>
      <c r="W91" s="264">
        <v>44285.71428571429</v>
      </c>
      <c r="X91" s="264">
        <f t="shared" si="19"/>
        <v>0</v>
      </c>
    </row>
    <row r="92" spans="1:24">
      <c r="A92" s="265">
        <v>511</v>
      </c>
      <c r="B92" s="268" t="s">
        <v>600</v>
      </c>
      <c r="C92" s="264">
        <v>28000</v>
      </c>
      <c r="D92" s="264">
        <v>41428.571428571435</v>
      </c>
      <c r="E92" s="264">
        <v>28000</v>
      </c>
      <c r="F92" s="264">
        <f t="shared" si="10"/>
        <v>0</v>
      </c>
      <c r="G92" s="264">
        <v>41428.571428571435</v>
      </c>
      <c r="H92" s="264">
        <f t="shared" si="11"/>
        <v>0</v>
      </c>
      <c r="I92" s="264">
        <v>28000</v>
      </c>
      <c r="J92" s="264">
        <f t="shared" si="12"/>
        <v>0</v>
      </c>
      <c r="K92" s="264">
        <v>44285.71428571429</v>
      </c>
      <c r="L92" s="264">
        <f t="shared" si="13"/>
        <v>2857.1428571428551</v>
      </c>
      <c r="M92" s="264">
        <v>28000</v>
      </c>
      <c r="N92" s="264">
        <f t="shared" si="14"/>
        <v>0</v>
      </c>
      <c r="O92" s="264">
        <v>44285.71428571429</v>
      </c>
      <c r="P92" s="264">
        <f t="shared" si="15"/>
        <v>0</v>
      </c>
      <c r="Q92" s="264">
        <v>28000</v>
      </c>
      <c r="R92" s="264">
        <f t="shared" si="16"/>
        <v>0</v>
      </c>
      <c r="S92" s="264">
        <v>44285.71428571429</v>
      </c>
      <c r="T92" s="264">
        <f t="shared" si="17"/>
        <v>0</v>
      </c>
      <c r="U92" s="264">
        <v>28000</v>
      </c>
      <c r="V92" s="264">
        <f t="shared" si="18"/>
        <v>0</v>
      </c>
      <c r="W92" s="264">
        <v>44285.71428571429</v>
      </c>
      <c r="X92" s="264">
        <f t="shared" si="19"/>
        <v>0</v>
      </c>
    </row>
    <row r="93" spans="1:24">
      <c r="A93" s="265">
        <v>512</v>
      </c>
      <c r="B93" s="269" t="s">
        <v>601</v>
      </c>
      <c r="C93" s="264">
        <v>28000</v>
      </c>
      <c r="D93" s="264">
        <v>41428.571428571435</v>
      </c>
      <c r="E93" s="264">
        <v>28000</v>
      </c>
      <c r="F93" s="264">
        <f t="shared" si="10"/>
        <v>0</v>
      </c>
      <c r="G93" s="264">
        <v>41428.571428571435</v>
      </c>
      <c r="H93" s="264">
        <f t="shared" si="11"/>
        <v>0</v>
      </c>
      <c r="I93" s="264">
        <v>28000</v>
      </c>
      <c r="J93" s="264">
        <f t="shared" si="12"/>
        <v>0</v>
      </c>
      <c r="K93" s="264">
        <v>44285.71428571429</v>
      </c>
      <c r="L93" s="264">
        <f t="shared" si="13"/>
        <v>2857.1428571428551</v>
      </c>
      <c r="M93" s="264">
        <v>28000</v>
      </c>
      <c r="N93" s="264">
        <f t="shared" si="14"/>
        <v>0</v>
      </c>
      <c r="O93" s="264">
        <v>44285.71428571429</v>
      </c>
      <c r="P93" s="264">
        <f t="shared" si="15"/>
        <v>0</v>
      </c>
      <c r="Q93" s="264">
        <v>28000</v>
      </c>
      <c r="R93" s="264">
        <f t="shared" si="16"/>
        <v>0</v>
      </c>
      <c r="S93" s="264">
        <v>44285.71428571429</v>
      </c>
      <c r="T93" s="264">
        <f t="shared" si="17"/>
        <v>0</v>
      </c>
      <c r="U93" s="264">
        <v>28000</v>
      </c>
      <c r="V93" s="264">
        <f t="shared" si="18"/>
        <v>0</v>
      </c>
      <c r="W93" s="264">
        <v>44285.71428571429</v>
      </c>
      <c r="X93" s="264">
        <f t="shared" si="19"/>
        <v>0</v>
      </c>
    </row>
    <row r="94" spans="1:24">
      <c r="A94" s="265">
        <v>513</v>
      </c>
      <c r="B94" s="269" t="s">
        <v>602</v>
      </c>
      <c r="C94" s="264">
        <v>30250</v>
      </c>
      <c r="D94" s="264">
        <v>44642.857142857145</v>
      </c>
      <c r="E94" s="264">
        <v>30250</v>
      </c>
      <c r="F94" s="264">
        <f t="shared" si="10"/>
        <v>0</v>
      </c>
      <c r="G94" s="264">
        <v>44642.857142857145</v>
      </c>
      <c r="H94" s="264">
        <f t="shared" si="11"/>
        <v>0</v>
      </c>
      <c r="I94" s="264">
        <v>30250</v>
      </c>
      <c r="J94" s="264">
        <f t="shared" si="12"/>
        <v>0</v>
      </c>
      <c r="K94" s="264">
        <v>47500</v>
      </c>
      <c r="L94" s="264">
        <f t="shared" si="13"/>
        <v>2857.1428571428551</v>
      </c>
      <c r="M94" s="264">
        <v>30250</v>
      </c>
      <c r="N94" s="264">
        <f t="shared" si="14"/>
        <v>0</v>
      </c>
      <c r="O94" s="264">
        <v>47500</v>
      </c>
      <c r="P94" s="264">
        <f t="shared" si="15"/>
        <v>0</v>
      </c>
      <c r="Q94" s="264">
        <v>30250</v>
      </c>
      <c r="R94" s="264">
        <f t="shared" si="16"/>
        <v>0</v>
      </c>
      <c r="S94" s="264">
        <v>47500</v>
      </c>
      <c r="T94" s="264">
        <f t="shared" si="17"/>
        <v>0</v>
      </c>
      <c r="U94" s="264">
        <v>30250</v>
      </c>
      <c r="V94" s="264">
        <f t="shared" si="18"/>
        <v>0</v>
      </c>
      <c r="W94" s="264">
        <v>47500</v>
      </c>
      <c r="X94" s="264">
        <f t="shared" si="19"/>
        <v>0</v>
      </c>
    </row>
    <row r="95" spans="1:24">
      <c r="A95" s="265">
        <v>514</v>
      </c>
      <c r="B95" s="269" t="s">
        <v>603</v>
      </c>
      <c r="C95" s="264">
        <v>30250</v>
      </c>
      <c r="D95" s="264">
        <v>44642.857142857145</v>
      </c>
      <c r="E95" s="264">
        <v>30250</v>
      </c>
      <c r="F95" s="264">
        <f t="shared" si="10"/>
        <v>0</v>
      </c>
      <c r="G95" s="264">
        <v>44642.857142857145</v>
      </c>
      <c r="H95" s="264">
        <f t="shared" si="11"/>
        <v>0</v>
      </c>
      <c r="I95" s="264">
        <v>30250</v>
      </c>
      <c r="J95" s="264">
        <f t="shared" si="12"/>
        <v>0</v>
      </c>
      <c r="K95" s="264">
        <v>47500</v>
      </c>
      <c r="L95" s="264">
        <f t="shared" si="13"/>
        <v>2857.1428571428551</v>
      </c>
      <c r="M95" s="264">
        <v>30250</v>
      </c>
      <c r="N95" s="264">
        <f t="shared" si="14"/>
        <v>0</v>
      </c>
      <c r="O95" s="264">
        <v>47500</v>
      </c>
      <c r="P95" s="264">
        <f t="shared" si="15"/>
        <v>0</v>
      </c>
      <c r="Q95" s="264">
        <v>30250</v>
      </c>
      <c r="R95" s="264">
        <f t="shared" si="16"/>
        <v>0</v>
      </c>
      <c r="S95" s="264">
        <v>47500</v>
      </c>
      <c r="T95" s="264">
        <f t="shared" si="17"/>
        <v>0</v>
      </c>
      <c r="U95" s="264">
        <v>30250</v>
      </c>
      <c r="V95" s="264">
        <f t="shared" si="18"/>
        <v>0</v>
      </c>
      <c r="W95" s="264">
        <v>47500</v>
      </c>
      <c r="X95" s="264">
        <f t="shared" si="19"/>
        <v>0</v>
      </c>
    </row>
    <row r="96" spans="1:24">
      <c r="A96" s="265">
        <v>515</v>
      </c>
      <c r="B96" s="269" t="s">
        <v>604</v>
      </c>
      <c r="C96" s="264">
        <v>29250</v>
      </c>
      <c r="D96" s="264">
        <v>43214.285714285717</v>
      </c>
      <c r="E96" s="264">
        <v>29250</v>
      </c>
      <c r="F96" s="264">
        <f t="shared" si="10"/>
        <v>0</v>
      </c>
      <c r="G96" s="264">
        <v>43214.285714285717</v>
      </c>
      <c r="H96" s="264">
        <f t="shared" si="11"/>
        <v>0</v>
      </c>
      <c r="I96" s="264">
        <v>29250</v>
      </c>
      <c r="J96" s="264">
        <f t="shared" si="12"/>
        <v>0</v>
      </c>
      <c r="K96" s="264">
        <v>46071.428571428572</v>
      </c>
      <c r="L96" s="264">
        <f t="shared" si="13"/>
        <v>2857.1428571428551</v>
      </c>
      <c r="M96" s="264">
        <v>29250</v>
      </c>
      <c r="N96" s="264">
        <f t="shared" si="14"/>
        <v>0</v>
      </c>
      <c r="O96" s="264">
        <v>46071.428571428572</v>
      </c>
      <c r="P96" s="264">
        <f t="shared" si="15"/>
        <v>0</v>
      </c>
      <c r="Q96" s="264">
        <v>29250</v>
      </c>
      <c r="R96" s="264">
        <f t="shared" si="16"/>
        <v>0</v>
      </c>
      <c r="S96" s="264">
        <v>46071.428571428572</v>
      </c>
      <c r="T96" s="264">
        <f t="shared" si="17"/>
        <v>0</v>
      </c>
      <c r="U96" s="264">
        <v>29250</v>
      </c>
      <c r="V96" s="264">
        <f t="shared" si="18"/>
        <v>0</v>
      </c>
      <c r="W96" s="264">
        <v>46071.428571428572</v>
      </c>
      <c r="X96" s="264">
        <f t="shared" si="19"/>
        <v>0</v>
      </c>
    </row>
    <row r="97" spans="1:24">
      <c r="A97" s="265">
        <v>516</v>
      </c>
      <c r="B97" s="269" t="s">
        <v>605</v>
      </c>
      <c r="C97" s="264">
        <v>29600</v>
      </c>
      <c r="D97" s="264">
        <v>43714.285714285717</v>
      </c>
      <c r="E97" s="264">
        <v>29600</v>
      </c>
      <c r="F97" s="264">
        <f t="shared" si="10"/>
        <v>0</v>
      </c>
      <c r="G97" s="264">
        <v>43714.285714285717</v>
      </c>
      <c r="H97" s="264">
        <f t="shared" si="11"/>
        <v>0</v>
      </c>
      <c r="I97" s="264">
        <v>29600</v>
      </c>
      <c r="J97" s="264">
        <f t="shared" si="12"/>
        <v>0</v>
      </c>
      <c r="K97" s="264">
        <v>46571.428571428572</v>
      </c>
      <c r="L97" s="264">
        <f t="shared" si="13"/>
        <v>2857.1428571428551</v>
      </c>
      <c r="M97" s="264">
        <v>29600</v>
      </c>
      <c r="N97" s="264">
        <f t="shared" si="14"/>
        <v>0</v>
      </c>
      <c r="O97" s="264">
        <v>46571.428571428572</v>
      </c>
      <c r="P97" s="264">
        <f t="shared" si="15"/>
        <v>0</v>
      </c>
      <c r="Q97" s="264">
        <v>29600</v>
      </c>
      <c r="R97" s="264">
        <f t="shared" si="16"/>
        <v>0</v>
      </c>
      <c r="S97" s="264">
        <v>46571.428571428572</v>
      </c>
      <c r="T97" s="264">
        <f t="shared" si="17"/>
        <v>0</v>
      </c>
      <c r="U97" s="264">
        <v>29600</v>
      </c>
      <c r="V97" s="264">
        <f t="shared" si="18"/>
        <v>0</v>
      </c>
      <c r="W97" s="264">
        <v>46571.428571428572</v>
      </c>
      <c r="X97" s="264">
        <f t="shared" si="19"/>
        <v>0</v>
      </c>
    </row>
    <row r="98" spans="1:24">
      <c r="A98" s="265"/>
      <c r="B98" s="269"/>
      <c r="D98" s="264"/>
      <c r="H98" s="267"/>
      <c r="K98" s="264"/>
      <c r="L98" s="267"/>
      <c r="O98" s="264"/>
      <c r="P98" s="267"/>
      <c r="S98" s="264"/>
      <c r="T98" s="267"/>
      <c r="W98" s="264"/>
      <c r="X98" s="267"/>
    </row>
    <row r="99" spans="1:24">
      <c r="A99" s="265"/>
      <c r="B99" s="268"/>
      <c r="D99" s="264"/>
      <c r="H99" s="267"/>
      <c r="K99" s="264"/>
      <c r="L99" s="267"/>
      <c r="O99" s="264"/>
      <c r="P99" s="267"/>
      <c r="S99" s="264"/>
      <c r="T99" s="267"/>
      <c r="W99" s="264"/>
      <c r="X99" s="267"/>
    </row>
    <row r="100" spans="1:24">
      <c r="A100" s="265"/>
      <c r="B100" s="268"/>
      <c r="D100" s="264"/>
      <c r="H100" s="267"/>
      <c r="K100" s="264"/>
      <c r="L100" s="267"/>
      <c r="O100" s="264"/>
      <c r="P100" s="267"/>
      <c r="S100" s="264"/>
      <c r="T100" s="267"/>
      <c r="W100" s="264"/>
      <c r="X100" s="267"/>
    </row>
    <row r="101" spans="1:24">
      <c r="A101" s="265"/>
      <c r="B101" s="269"/>
      <c r="D101" s="264"/>
      <c r="H101" s="267"/>
      <c r="K101" s="264"/>
      <c r="L101" s="267"/>
      <c r="O101" s="264"/>
      <c r="P101" s="267"/>
      <c r="S101" s="264"/>
      <c r="T101" s="267"/>
      <c r="W101" s="264"/>
      <c r="X101" s="267"/>
    </row>
    <row r="102" spans="1:24">
      <c r="A102" s="265"/>
      <c r="B102" s="269"/>
      <c r="D102" s="264"/>
      <c r="H102" s="267"/>
      <c r="K102" s="264"/>
      <c r="L102" s="267"/>
      <c r="O102" s="264"/>
      <c r="P102" s="267"/>
      <c r="S102" s="264"/>
      <c r="T102" s="267"/>
      <c r="W102" s="264"/>
      <c r="X102" s="267"/>
    </row>
    <row r="103" spans="1:24">
      <c r="A103" s="265"/>
      <c r="B103" s="268"/>
      <c r="D103" s="264"/>
      <c r="H103" s="267"/>
      <c r="K103" s="264"/>
      <c r="L103" s="267"/>
      <c r="O103" s="264"/>
      <c r="P103" s="267"/>
      <c r="S103" s="264"/>
      <c r="T103" s="267"/>
      <c r="W103" s="264"/>
      <c r="X103" s="267"/>
    </row>
    <row r="104" spans="1:24">
      <c r="A104" s="265"/>
      <c r="B104" s="270"/>
      <c r="D104" s="264"/>
      <c r="H104" s="267"/>
      <c r="K104" s="264"/>
      <c r="L104" s="267"/>
      <c r="O104" s="264"/>
      <c r="P104" s="267"/>
      <c r="S104" s="264"/>
      <c r="T104" s="267"/>
      <c r="W104" s="264"/>
      <c r="X104" s="267"/>
    </row>
    <row r="105" spans="1:24">
      <c r="A105" s="265"/>
      <c r="B105" s="271"/>
      <c r="D105" s="264"/>
      <c r="H105" s="267"/>
      <c r="K105" s="264"/>
      <c r="L105" s="267"/>
      <c r="O105" s="264"/>
      <c r="P105" s="267"/>
      <c r="S105" s="264"/>
      <c r="T105" s="267"/>
      <c r="W105" s="264"/>
      <c r="X105" s="267"/>
    </row>
    <row r="106" spans="1:24">
      <c r="A106" s="265"/>
      <c r="B106" s="271"/>
      <c r="D106" s="264"/>
      <c r="H106" s="267"/>
      <c r="K106" s="264"/>
      <c r="L106" s="267"/>
      <c r="O106" s="264"/>
      <c r="P106" s="267"/>
      <c r="S106" s="264"/>
      <c r="T106" s="267"/>
      <c r="W106" s="264"/>
      <c r="X106" s="267"/>
    </row>
    <row r="107" spans="1:24">
      <c r="A107" s="265"/>
      <c r="B107" s="270"/>
      <c r="D107" s="264"/>
      <c r="H107" s="267"/>
      <c r="K107" s="264"/>
      <c r="L107" s="267"/>
      <c r="O107" s="264"/>
      <c r="P107" s="267"/>
      <c r="S107" s="264"/>
      <c r="T107" s="267"/>
      <c r="W107" s="264"/>
      <c r="X107" s="267"/>
    </row>
    <row r="108" spans="1:24">
      <c r="A108" s="265"/>
      <c r="B108" s="271"/>
      <c r="D108" s="264"/>
      <c r="H108" s="267"/>
      <c r="K108" s="264"/>
      <c r="L108" s="267"/>
      <c r="O108" s="264"/>
      <c r="P108" s="267"/>
      <c r="S108" s="264"/>
      <c r="T108" s="267"/>
      <c r="W108" s="264"/>
      <c r="X108" s="267"/>
    </row>
    <row r="109" spans="1:24">
      <c r="A109" s="265"/>
      <c r="B109" s="270"/>
      <c r="D109" s="264"/>
      <c r="H109" s="267"/>
      <c r="K109" s="264"/>
      <c r="L109" s="267"/>
      <c r="O109" s="264"/>
      <c r="P109" s="267"/>
      <c r="S109" s="264"/>
      <c r="T109" s="267"/>
      <c r="W109" s="264"/>
      <c r="X109" s="267"/>
    </row>
    <row r="110" spans="1:24">
      <c r="A110" s="265"/>
      <c r="B110" s="270"/>
      <c r="D110" s="264"/>
      <c r="H110" s="267"/>
      <c r="K110" s="264"/>
      <c r="L110" s="267"/>
      <c r="O110" s="264"/>
      <c r="P110" s="267"/>
      <c r="S110" s="264"/>
      <c r="T110" s="267"/>
      <c r="W110" s="264"/>
      <c r="X110" s="267"/>
    </row>
    <row r="111" spans="1:24">
      <c r="A111" s="265"/>
      <c r="B111" s="271"/>
      <c r="D111" s="264"/>
      <c r="H111" s="267"/>
      <c r="K111" s="264"/>
      <c r="L111" s="267"/>
      <c r="O111" s="264"/>
      <c r="P111" s="267"/>
      <c r="S111" s="264"/>
      <c r="T111" s="267"/>
      <c r="W111" s="264"/>
      <c r="X111" s="267"/>
    </row>
    <row r="112" spans="1:24">
      <c r="A112" s="265"/>
      <c r="B112" s="271"/>
      <c r="D112" s="264"/>
      <c r="H112" s="267"/>
      <c r="K112" s="264"/>
      <c r="L112" s="267"/>
      <c r="O112" s="264"/>
      <c r="P112" s="267"/>
      <c r="S112" s="264"/>
      <c r="T112" s="267"/>
      <c r="W112" s="264"/>
      <c r="X112" s="267"/>
    </row>
    <row r="113" spans="1:24">
      <c r="A113" s="265"/>
      <c r="B113" s="270"/>
      <c r="D113" s="264"/>
      <c r="H113" s="267"/>
      <c r="K113" s="264"/>
      <c r="L113" s="267"/>
      <c r="O113" s="264"/>
      <c r="P113" s="267"/>
      <c r="S113" s="264"/>
      <c r="T113" s="267"/>
      <c r="W113" s="264"/>
      <c r="X113" s="267"/>
    </row>
    <row r="114" spans="1:24">
      <c r="A114" s="265"/>
      <c r="B114" s="270"/>
      <c r="D114" s="264"/>
      <c r="H114" s="267"/>
      <c r="K114" s="264"/>
      <c r="L114" s="267"/>
      <c r="O114" s="264"/>
      <c r="P114" s="267"/>
      <c r="S114" s="264"/>
      <c r="T114" s="267"/>
      <c r="W114" s="264"/>
      <c r="X114" s="267"/>
    </row>
    <row r="115" spans="1:24">
      <c r="A115" s="265"/>
      <c r="B115" s="270"/>
      <c r="D115" s="264"/>
      <c r="H115" s="267"/>
      <c r="K115" s="264"/>
      <c r="L115" s="267"/>
      <c r="O115" s="264"/>
      <c r="P115" s="267"/>
      <c r="S115" s="264"/>
      <c r="T115" s="267"/>
      <c r="W115" s="264"/>
      <c r="X115" s="267"/>
    </row>
    <row r="116" spans="1:24">
      <c r="A116" s="265"/>
      <c r="B116" s="270"/>
      <c r="D116" s="264"/>
      <c r="H116" s="267"/>
      <c r="K116" s="264"/>
      <c r="L116" s="267"/>
      <c r="O116" s="264"/>
      <c r="P116" s="267"/>
      <c r="S116" s="264"/>
      <c r="T116" s="267"/>
      <c r="W116" s="264"/>
      <c r="X116" s="267"/>
    </row>
    <row r="117" spans="1:24">
      <c r="A117" s="265"/>
      <c r="B117" s="270"/>
      <c r="D117" s="264"/>
      <c r="H117" s="267"/>
      <c r="K117" s="264"/>
      <c r="L117" s="267"/>
      <c r="O117" s="264"/>
      <c r="P117" s="267"/>
      <c r="S117" s="264"/>
      <c r="T117" s="267"/>
      <c r="W117" s="264"/>
      <c r="X117" s="267"/>
    </row>
    <row r="118" spans="1:24">
      <c r="A118" s="265"/>
      <c r="B118" s="270"/>
      <c r="D118" s="264"/>
      <c r="H118" s="267"/>
      <c r="K118" s="264"/>
      <c r="L118" s="267"/>
      <c r="O118" s="264"/>
      <c r="P118" s="267"/>
      <c r="S118" s="264"/>
      <c r="T118" s="267"/>
      <c r="W118" s="264"/>
      <c r="X118" s="267"/>
    </row>
    <row r="119" spans="1:24">
      <c r="A119" s="265"/>
      <c r="B119" s="270"/>
      <c r="D119" s="264"/>
      <c r="H119" s="267"/>
      <c r="K119" s="264"/>
      <c r="L119" s="267"/>
      <c r="O119" s="264"/>
      <c r="P119" s="267"/>
      <c r="S119" s="264"/>
      <c r="T119" s="267"/>
      <c r="W119" s="264"/>
      <c r="X119" s="267"/>
    </row>
    <row r="120" spans="1:24">
      <c r="A120" s="265"/>
      <c r="B120" s="270"/>
      <c r="D120" s="264"/>
      <c r="H120" s="267"/>
      <c r="K120" s="264"/>
      <c r="L120" s="267"/>
      <c r="O120" s="264"/>
      <c r="P120" s="267"/>
      <c r="S120" s="264"/>
      <c r="T120" s="267"/>
      <c r="W120" s="264"/>
      <c r="X120" s="267"/>
    </row>
    <row r="121" spans="1:24">
      <c r="A121" s="265"/>
      <c r="B121" s="270"/>
      <c r="D121" s="264"/>
      <c r="H121" s="267"/>
      <c r="K121" s="264"/>
      <c r="L121" s="267"/>
      <c r="O121" s="264"/>
      <c r="P121" s="267"/>
      <c r="S121" s="264"/>
      <c r="T121" s="267"/>
      <c r="W121" s="264"/>
      <c r="X121" s="267"/>
    </row>
    <row r="122" spans="1:24">
      <c r="A122" s="265"/>
      <c r="B122" s="270"/>
      <c r="D122" s="264"/>
      <c r="H122" s="267"/>
      <c r="K122" s="264"/>
      <c r="L122" s="267"/>
      <c r="O122" s="264"/>
      <c r="P122" s="267"/>
      <c r="S122" s="264"/>
      <c r="T122" s="267"/>
      <c r="W122" s="264"/>
      <c r="X122" s="267"/>
    </row>
    <row r="123" spans="1:24">
      <c r="A123" s="265"/>
      <c r="B123" s="270"/>
      <c r="D123" s="264"/>
      <c r="H123" s="267"/>
      <c r="K123" s="264"/>
      <c r="L123" s="267"/>
      <c r="O123" s="264"/>
      <c r="P123" s="267"/>
      <c r="S123" s="264"/>
      <c r="T123" s="267"/>
      <c r="W123" s="264"/>
      <c r="X123" s="267"/>
    </row>
    <row r="124" spans="1:24">
      <c r="A124" s="265"/>
      <c r="B124" s="270"/>
      <c r="D124" s="264"/>
      <c r="H124" s="267"/>
      <c r="K124" s="264"/>
      <c r="L124" s="267"/>
      <c r="O124" s="264"/>
      <c r="P124" s="267"/>
      <c r="S124" s="264"/>
      <c r="T124" s="267"/>
      <c r="W124" s="264"/>
      <c r="X124" s="267"/>
    </row>
    <row r="125" spans="1:24">
      <c r="A125" s="265"/>
      <c r="B125" s="270"/>
      <c r="D125" s="264"/>
      <c r="H125" s="267"/>
      <c r="K125" s="264"/>
      <c r="L125" s="267"/>
      <c r="O125" s="264"/>
      <c r="P125" s="267"/>
      <c r="S125" s="264"/>
      <c r="T125" s="267"/>
      <c r="W125" s="264"/>
      <c r="X125" s="267"/>
    </row>
    <row r="126" spans="1:24">
      <c r="A126" s="265"/>
      <c r="B126" s="270"/>
      <c r="D126" s="264"/>
      <c r="H126" s="267"/>
      <c r="K126" s="264"/>
      <c r="L126" s="267"/>
      <c r="O126" s="264"/>
      <c r="P126" s="267"/>
      <c r="S126" s="264"/>
      <c r="T126" s="267"/>
      <c r="W126" s="264"/>
      <c r="X126" s="267"/>
    </row>
    <row r="127" spans="1:24">
      <c r="A127" s="265"/>
      <c r="B127" s="270"/>
      <c r="D127" s="264"/>
      <c r="H127" s="267"/>
      <c r="K127" s="264"/>
      <c r="L127" s="267"/>
      <c r="O127" s="264"/>
      <c r="P127" s="267"/>
      <c r="S127" s="264"/>
      <c r="T127" s="267"/>
      <c r="W127" s="264"/>
      <c r="X127" s="267"/>
    </row>
    <row r="128" spans="1:24">
      <c r="A128" s="265"/>
      <c r="B128" s="270"/>
      <c r="D128" s="264"/>
      <c r="H128" s="267"/>
      <c r="K128" s="264"/>
      <c r="L128" s="267"/>
      <c r="O128" s="264"/>
      <c r="P128" s="267"/>
      <c r="S128" s="264"/>
      <c r="T128" s="267"/>
      <c r="W128" s="264"/>
      <c r="X128" s="267"/>
    </row>
    <row r="129" spans="1:24">
      <c r="A129" s="265"/>
      <c r="B129" s="270"/>
      <c r="D129" s="264"/>
      <c r="H129" s="267"/>
      <c r="K129" s="264"/>
      <c r="L129" s="267"/>
      <c r="O129" s="264"/>
      <c r="P129" s="267"/>
      <c r="S129" s="264"/>
      <c r="T129" s="267"/>
      <c r="W129" s="264"/>
      <c r="X129" s="267"/>
    </row>
    <row r="130" spans="1:24">
      <c r="A130" s="265"/>
      <c r="B130" s="271"/>
      <c r="D130" s="264"/>
      <c r="H130" s="267"/>
      <c r="K130" s="264"/>
      <c r="L130" s="267"/>
      <c r="O130" s="264"/>
      <c r="P130" s="267"/>
      <c r="S130" s="264"/>
      <c r="T130" s="267"/>
      <c r="W130" s="264"/>
      <c r="X130" s="267"/>
    </row>
    <row r="131" spans="1:24">
      <c r="A131" s="265"/>
      <c r="B131" s="271"/>
      <c r="D131" s="264"/>
      <c r="H131" s="267"/>
      <c r="K131" s="264"/>
      <c r="L131" s="267"/>
      <c r="O131" s="264"/>
      <c r="P131" s="267"/>
      <c r="S131" s="264"/>
      <c r="T131" s="267"/>
      <c r="W131" s="264"/>
      <c r="X131" s="267"/>
    </row>
    <row r="132" spans="1:24">
      <c r="A132" s="265"/>
      <c r="B132" s="270"/>
      <c r="D132" s="264"/>
      <c r="H132" s="267"/>
      <c r="K132" s="264"/>
      <c r="L132" s="267"/>
      <c r="O132" s="264"/>
      <c r="P132" s="267"/>
      <c r="S132" s="264"/>
      <c r="T132" s="267"/>
      <c r="W132" s="264"/>
      <c r="X132" s="267"/>
    </row>
    <row r="133" spans="1:24">
      <c r="A133" s="265"/>
      <c r="B133" s="270"/>
      <c r="D133" s="264"/>
      <c r="H133" s="267"/>
      <c r="K133" s="264"/>
      <c r="L133" s="267"/>
      <c r="O133" s="264"/>
      <c r="P133" s="267"/>
      <c r="S133" s="264"/>
      <c r="T133" s="267"/>
      <c r="W133" s="264"/>
      <c r="X133" s="267"/>
    </row>
    <row r="134" spans="1:24">
      <c r="A134" s="265"/>
      <c r="B134" s="271"/>
      <c r="D134" s="264"/>
      <c r="H134" s="267"/>
      <c r="K134" s="264"/>
      <c r="L134" s="267"/>
      <c r="O134" s="264"/>
      <c r="P134" s="267"/>
      <c r="S134" s="264"/>
      <c r="T134" s="267"/>
      <c r="W134" s="264"/>
      <c r="X134" s="267"/>
    </row>
    <row r="135" spans="1:24">
      <c r="A135" s="265"/>
      <c r="B135" s="270"/>
      <c r="D135" s="264"/>
      <c r="H135" s="267"/>
      <c r="K135" s="264"/>
      <c r="L135" s="267"/>
      <c r="O135" s="264"/>
      <c r="P135" s="267"/>
      <c r="S135" s="264"/>
      <c r="T135" s="267"/>
      <c r="W135" s="264"/>
      <c r="X135" s="267"/>
    </row>
    <row r="136" spans="1:24">
      <c r="A136" s="265"/>
      <c r="B136" s="270"/>
      <c r="D136" s="264"/>
      <c r="H136" s="267"/>
      <c r="K136" s="264"/>
      <c r="L136" s="267"/>
      <c r="O136" s="264"/>
      <c r="P136" s="267"/>
      <c r="S136" s="264"/>
      <c r="T136" s="267"/>
      <c r="W136" s="264"/>
      <c r="X136" s="267"/>
    </row>
    <row r="137" spans="1:24">
      <c r="A137" s="265"/>
      <c r="B137" s="270"/>
      <c r="D137" s="264"/>
      <c r="H137" s="267"/>
      <c r="K137" s="264"/>
      <c r="L137" s="267"/>
      <c r="O137" s="264"/>
      <c r="P137" s="267"/>
      <c r="S137" s="264"/>
      <c r="T137" s="267"/>
      <c r="W137" s="264"/>
      <c r="X137" s="267"/>
    </row>
    <row r="138" spans="1:24">
      <c r="A138" s="265"/>
      <c r="B138" s="271"/>
      <c r="D138" s="264"/>
      <c r="H138" s="267"/>
      <c r="K138" s="264"/>
      <c r="L138" s="267"/>
      <c r="O138" s="264"/>
      <c r="P138" s="267"/>
      <c r="S138" s="264"/>
      <c r="T138" s="267"/>
      <c r="W138" s="264"/>
      <c r="X138" s="267"/>
    </row>
    <row r="139" spans="1:24">
      <c r="A139" s="265"/>
      <c r="B139" s="271"/>
      <c r="D139" s="264"/>
      <c r="H139" s="267"/>
      <c r="K139" s="264"/>
      <c r="L139" s="267"/>
      <c r="O139" s="264"/>
      <c r="P139" s="267"/>
      <c r="S139" s="264"/>
      <c r="T139" s="267"/>
      <c r="W139" s="264"/>
      <c r="X139" s="267"/>
    </row>
    <row r="140" spans="1:24">
      <c r="A140" s="265"/>
      <c r="B140" s="270"/>
      <c r="D140" s="264"/>
      <c r="H140" s="267"/>
      <c r="K140" s="264"/>
      <c r="L140" s="267"/>
      <c r="O140" s="264"/>
      <c r="P140" s="267"/>
      <c r="S140" s="264"/>
      <c r="T140" s="267"/>
      <c r="W140" s="264"/>
      <c r="X140" s="267"/>
    </row>
    <row r="141" spans="1:24">
      <c r="A141" s="265"/>
      <c r="B141" s="270"/>
      <c r="D141" s="264"/>
      <c r="H141" s="267"/>
      <c r="K141" s="264"/>
      <c r="L141" s="267"/>
      <c r="O141" s="264"/>
      <c r="P141" s="267"/>
      <c r="S141" s="264"/>
      <c r="T141" s="267"/>
      <c r="W141" s="264"/>
      <c r="X141" s="267"/>
    </row>
    <row r="142" spans="1:24">
      <c r="A142" s="265"/>
      <c r="B142" s="270"/>
      <c r="D142" s="264"/>
      <c r="H142" s="267"/>
      <c r="K142" s="264"/>
      <c r="L142" s="267"/>
      <c r="O142" s="264"/>
      <c r="P142" s="267"/>
      <c r="S142" s="264"/>
      <c r="T142" s="267"/>
      <c r="W142" s="264"/>
      <c r="X142" s="267"/>
    </row>
    <row r="143" spans="1:24">
      <c r="A143" s="265"/>
      <c r="B143" s="270"/>
      <c r="D143" s="264"/>
      <c r="H143" s="267"/>
      <c r="K143" s="264"/>
      <c r="L143" s="267"/>
      <c r="O143" s="264"/>
      <c r="P143" s="267"/>
      <c r="S143" s="264"/>
      <c r="T143" s="267"/>
      <c r="W143" s="264"/>
      <c r="X143" s="267"/>
    </row>
    <row r="144" spans="1:24">
      <c r="A144" s="265"/>
      <c r="B144" s="270"/>
      <c r="D144" s="264"/>
      <c r="H144" s="267"/>
      <c r="K144" s="264"/>
      <c r="L144" s="267"/>
      <c r="O144" s="264"/>
      <c r="P144" s="267"/>
      <c r="S144" s="264"/>
      <c r="T144" s="267"/>
      <c r="W144" s="264"/>
      <c r="X144" s="267"/>
    </row>
    <row r="145" spans="1:24">
      <c r="A145" s="265"/>
      <c r="B145" s="270"/>
      <c r="D145" s="264"/>
      <c r="H145" s="267"/>
      <c r="K145" s="264"/>
      <c r="L145" s="267"/>
      <c r="O145" s="264"/>
      <c r="P145" s="267"/>
      <c r="S145" s="264"/>
      <c r="T145" s="267"/>
      <c r="W145" s="264"/>
      <c r="X145" s="267"/>
    </row>
    <row r="146" spans="1:24">
      <c r="A146" s="265"/>
      <c r="B146" s="271"/>
      <c r="D146" s="264"/>
      <c r="H146" s="267"/>
      <c r="K146" s="264"/>
      <c r="L146" s="267"/>
      <c r="O146" s="264"/>
      <c r="P146" s="267"/>
      <c r="S146" s="264"/>
      <c r="T146" s="267"/>
      <c r="W146" s="264"/>
      <c r="X146" s="267"/>
    </row>
    <row r="147" spans="1:24">
      <c r="A147" s="265"/>
      <c r="B147" s="270"/>
      <c r="D147" s="264"/>
      <c r="H147" s="267"/>
      <c r="K147" s="264"/>
      <c r="L147" s="267"/>
      <c r="O147" s="264"/>
      <c r="P147" s="267"/>
      <c r="S147" s="264"/>
      <c r="T147" s="267"/>
      <c r="W147" s="264"/>
      <c r="X147" s="267"/>
    </row>
    <row r="148" spans="1:24">
      <c r="A148" s="265"/>
      <c r="B148" s="270"/>
      <c r="D148" s="264"/>
      <c r="H148" s="267"/>
      <c r="K148" s="264"/>
      <c r="L148" s="267"/>
      <c r="O148" s="264"/>
      <c r="P148" s="267"/>
      <c r="S148" s="264"/>
      <c r="T148" s="267"/>
      <c r="W148" s="264"/>
      <c r="X148" s="267"/>
    </row>
    <row r="149" spans="1:24">
      <c r="A149" s="265"/>
      <c r="B149" s="271"/>
      <c r="D149" s="264"/>
      <c r="H149" s="267"/>
      <c r="K149" s="264"/>
      <c r="L149" s="267"/>
      <c r="O149" s="264"/>
      <c r="P149" s="267"/>
      <c r="S149" s="264"/>
      <c r="T149" s="267"/>
      <c r="W149" s="264"/>
      <c r="X149" s="267"/>
    </row>
    <row r="150" spans="1:24">
      <c r="A150" s="265"/>
      <c r="B150" s="270"/>
      <c r="D150" s="264"/>
      <c r="H150" s="267"/>
      <c r="K150" s="264"/>
      <c r="L150" s="267"/>
      <c r="O150" s="264"/>
      <c r="P150" s="267"/>
      <c r="S150" s="264"/>
      <c r="T150" s="267"/>
      <c r="W150" s="264"/>
      <c r="X150" s="267"/>
    </row>
    <row r="151" spans="1:24">
      <c r="A151" s="265"/>
      <c r="B151" s="270"/>
      <c r="D151" s="264"/>
      <c r="H151" s="267"/>
      <c r="K151" s="264"/>
      <c r="L151" s="267"/>
      <c r="O151" s="264"/>
      <c r="P151" s="267"/>
      <c r="S151" s="264"/>
      <c r="T151" s="267"/>
      <c r="W151" s="264"/>
      <c r="X151" s="267"/>
    </row>
    <row r="152" spans="1:24">
      <c r="A152" s="265"/>
      <c r="B152" s="271"/>
      <c r="D152" s="264"/>
      <c r="H152" s="267"/>
      <c r="K152" s="264"/>
      <c r="L152" s="267"/>
      <c r="O152" s="264"/>
      <c r="P152" s="267"/>
      <c r="S152" s="264"/>
      <c r="T152" s="267"/>
      <c r="W152" s="264"/>
      <c r="X152" s="267"/>
    </row>
    <row r="153" spans="1:24">
      <c r="A153" s="265"/>
      <c r="B153" s="271"/>
      <c r="D153" s="264"/>
      <c r="H153" s="267"/>
      <c r="K153" s="264"/>
      <c r="L153" s="267"/>
      <c r="O153" s="264"/>
      <c r="P153" s="267"/>
      <c r="S153" s="264"/>
      <c r="T153" s="267"/>
      <c r="W153" s="264"/>
      <c r="X153" s="267"/>
    </row>
    <row r="154" spans="1:24">
      <c r="A154" s="265"/>
      <c r="B154" s="271"/>
      <c r="D154" s="264"/>
      <c r="H154" s="267"/>
      <c r="K154" s="264"/>
      <c r="L154" s="267"/>
      <c r="O154" s="264"/>
      <c r="P154" s="267"/>
      <c r="S154" s="264"/>
      <c r="T154" s="267"/>
      <c r="W154" s="264"/>
      <c r="X154" s="267"/>
    </row>
    <row r="155" spans="1:24">
      <c r="A155" s="265"/>
      <c r="B155" s="270"/>
      <c r="D155" s="264"/>
      <c r="H155" s="267"/>
      <c r="K155" s="264"/>
      <c r="L155" s="267"/>
      <c r="O155" s="264"/>
      <c r="P155" s="267"/>
      <c r="S155" s="264"/>
      <c r="T155" s="267"/>
      <c r="W155" s="264"/>
      <c r="X155" s="267"/>
    </row>
    <row r="156" spans="1:24">
      <c r="A156" s="265"/>
      <c r="B156" s="271"/>
      <c r="D156" s="264"/>
      <c r="H156" s="267"/>
      <c r="K156" s="264"/>
      <c r="L156" s="267"/>
      <c r="O156" s="264"/>
      <c r="P156" s="267"/>
      <c r="S156" s="264"/>
      <c r="T156" s="267"/>
      <c r="W156" s="264"/>
      <c r="X156" s="267"/>
    </row>
    <row r="157" spans="1:24">
      <c r="A157" s="265"/>
      <c r="B157" s="270"/>
      <c r="D157" s="264"/>
      <c r="H157" s="267"/>
      <c r="K157" s="264"/>
      <c r="L157" s="267"/>
      <c r="O157" s="264"/>
      <c r="P157" s="267"/>
      <c r="S157" s="264"/>
      <c r="T157" s="267"/>
      <c r="W157" s="264"/>
      <c r="X157" s="267"/>
    </row>
    <row r="158" spans="1:24">
      <c r="A158" s="265"/>
      <c r="B158" s="270"/>
      <c r="D158" s="264"/>
      <c r="H158" s="267"/>
      <c r="K158" s="264"/>
      <c r="L158" s="267"/>
      <c r="O158" s="264"/>
      <c r="P158" s="267"/>
      <c r="S158" s="264"/>
      <c r="T158" s="267"/>
      <c r="W158" s="264"/>
      <c r="X158" s="267"/>
    </row>
    <row r="159" spans="1:24">
      <c r="A159" s="265"/>
      <c r="B159" s="270"/>
      <c r="D159" s="264"/>
      <c r="H159" s="267"/>
      <c r="K159" s="264"/>
      <c r="L159" s="267"/>
      <c r="O159" s="264"/>
      <c r="P159" s="267"/>
      <c r="S159" s="264"/>
      <c r="T159" s="267"/>
      <c r="W159" s="264"/>
      <c r="X159" s="267"/>
    </row>
    <row r="160" spans="1:24">
      <c r="A160" s="265"/>
      <c r="B160" s="270"/>
      <c r="D160" s="264"/>
      <c r="H160" s="267"/>
      <c r="K160" s="264"/>
      <c r="L160" s="267"/>
      <c r="O160" s="264"/>
      <c r="P160" s="267"/>
      <c r="S160" s="264"/>
      <c r="T160" s="267"/>
      <c r="W160" s="264"/>
      <c r="X160" s="267"/>
    </row>
    <row r="161" spans="1:24">
      <c r="A161" s="265"/>
      <c r="B161" s="270"/>
      <c r="D161" s="264"/>
      <c r="H161" s="267"/>
      <c r="K161" s="264"/>
      <c r="L161" s="267"/>
      <c r="O161" s="264"/>
      <c r="P161" s="267"/>
      <c r="S161" s="264"/>
      <c r="T161" s="267"/>
      <c r="W161" s="264"/>
      <c r="X161" s="267"/>
    </row>
    <row r="162" spans="1:24">
      <c r="A162" s="265"/>
      <c r="B162" s="270"/>
      <c r="D162" s="264"/>
      <c r="H162" s="267"/>
      <c r="K162" s="264"/>
      <c r="L162" s="267"/>
      <c r="O162" s="264"/>
      <c r="P162" s="267"/>
      <c r="S162" s="264"/>
      <c r="T162" s="267"/>
      <c r="W162" s="264"/>
      <c r="X162" s="267"/>
    </row>
    <row r="163" spans="1:24">
      <c r="A163" s="265"/>
      <c r="B163" s="271"/>
      <c r="D163" s="264"/>
      <c r="H163" s="267"/>
      <c r="K163" s="264"/>
      <c r="L163" s="267"/>
      <c r="O163" s="264"/>
      <c r="P163" s="267"/>
      <c r="S163" s="264"/>
      <c r="T163" s="267"/>
      <c r="W163" s="264"/>
      <c r="X163" s="267"/>
    </row>
    <row r="164" spans="1:24">
      <c r="A164" s="265"/>
      <c r="B164" s="270"/>
      <c r="D164" s="264"/>
      <c r="H164" s="267"/>
      <c r="K164" s="264"/>
      <c r="L164" s="267"/>
      <c r="O164" s="264"/>
      <c r="P164" s="267"/>
      <c r="S164" s="264"/>
      <c r="T164" s="267"/>
      <c r="W164" s="264"/>
      <c r="X164" s="267"/>
    </row>
    <row r="165" spans="1:24">
      <c r="A165" s="265"/>
      <c r="B165" s="270"/>
      <c r="D165" s="264"/>
      <c r="H165" s="267"/>
      <c r="K165" s="264"/>
      <c r="L165" s="267"/>
      <c r="O165" s="264"/>
      <c r="P165" s="267"/>
      <c r="S165" s="264"/>
      <c r="T165" s="267"/>
      <c r="W165" s="264"/>
      <c r="X165" s="267"/>
    </row>
    <row r="166" spans="1:24">
      <c r="A166" s="265"/>
      <c r="B166" s="271"/>
      <c r="D166" s="264"/>
      <c r="H166" s="267"/>
      <c r="K166" s="264"/>
      <c r="L166" s="267"/>
      <c r="O166" s="264"/>
      <c r="P166" s="267"/>
      <c r="S166" s="264"/>
      <c r="T166" s="267"/>
      <c r="W166" s="264"/>
      <c r="X166" s="267"/>
    </row>
    <row r="167" spans="1:24">
      <c r="A167" s="265"/>
      <c r="B167" s="270"/>
      <c r="D167" s="264"/>
      <c r="H167" s="267"/>
      <c r="K167" s="264"/>
      <c r="L167" s="267"/>
      <c r="O167" s="264"/>
      <c r="P167" s="267"/>
      <c r="S167" s="264"/>
      <c r="T167" s="267"/>
      <c r="W167" s="264"/>
      <c r="X167" s="267"/>
    </row>
    <row r="168" spans="1:24">
      <c r="A168" s="262"/>
      <c r="B168" s="270"/>
      <c r="D168" s="264"/>
      <c r="H168" s="267"/>
      <c r="K168" s="264"/>
      <c r="L168" s="267"/>
      <c r="O168" s="264"/>
      <c r="P168" s="267"/>
      <c r="S168" s="264"/>
      <c r="T168" s="267"/>
      <c r="W168" s="264"/>
      <c r="X168" s="267"/>
    </row>
    <row r="169" spans="1:24">
      <c r="A169" s="265"/>
      <c r="B169" s="270"/>
      <c r="D169" s="264"/>
      <c r="H169" s="267"/>
      <c r="K169" s="264"/>
      <c r="L169" s="267"/>
      <c r="O169" s="264"/>
      <c r="P169" s="267"/>
      <c r="S169" s="264"/>
      <c r="T169" s="267"/>
      <c r="W169" s="264"/>
      <c r="X169" s="267"/>
    </row>
    <row r="170" spans="1:24">
      <c r="A170" s="265"/>
      <c r="B170" s="270"/>
      <c r="D170" s="264"/>
      <c r="H170" s="267"/>
      <c r="K170" s="264"/>
      <c r="L170" s="267"/>
      <c r="O170" s="264"/>
      <c r="P170" s="267"/>
      <c r="S170" s="264"/>
      <c r="T170" s="267"/>
      <c r="W170" s="264"/>
      <c r="X170" s="267"/>
    </row>
    <row r="171" spans="1:24">
      <c r="A171" s="265"/>
      <c r="B171" s="270"/>
      <c r="D171" s="264"/>
      <c r="H171" s="267"/>
      <c r="K171" s="264"/>
      <c r="L171" s="267"/>
      <c r="O171" s="264"/>
      <c r="P171" s="267"/>
      <c r="S171" s="264"/>
      <c r="T171" s="267"/>
      <c r="W171" s="264"/>
      <c r="X171" s="267"/>
    </row>
    <row r="172" spans="1:24">
      <c r="A172" s="265"/>
      <c r="B172" s="270"/>
      <c r="D172" s="264"/>
      <c r="H172" s="267"/>
      <c r="K172" s="264"/>
      <c r="L172" s="267"/>
      <c r="O172" s="264"/>
      <c r="P172" s="267"/>
      <c r="S172" s="264"/>
      <c r="T172" s="267"/>
      <c r="W172" s="264"/>
      <c r="X172" s="267"/>
    </row>
    <row r="173" spans="1:24">
      <c r="A173" s="265"/>
      <c r="B173" s="271"/>
      <c r="D173" s="264"/>
      <c r="H173" s="267"/>
      <c r="K173" s="264"/>
      <c r="L173" s="267"/>
      <c r="O173" s="264"/>
      <c r="P173" s="267"/>
      <c r="S173" s="264"/>
      <c r="T173" s="267"/>
      <c r="W173" s="264"/>
      <c r="X173" s="267"/>
    </row>
    <row r="174" spans="1:24">
      <c r="A174" s="265"/>
      <c r="B174" s="270"/>
      <c r="D174" s="264"/>
      <c r="H174" s="267"/>
      <c r="K174" s="264"/>
      <c r="L174" s="267"/>
      <c r="O174" s="264"/>
      <c r="P174" s="267"/>
      <c r="S174" s="264"/>
      <c r="T174" s="267"/>
      <c r="W174" s="264"/>
      <c r="X174" s="267"/>
    </row>
    <row r="175" spans="1:24">
      <c r="A175" s="265"/>
      <c r="B175" s="270"/>
      <c r="D175" s="264"/>
      <c r="H175" s="267"/>
      <c r="K175" s="264"/>
      <c r="L175" s="267"/>
      <c r="O175" s="264"/>
      <c r="P175" s="267"/>
      <c r="S175" s="264"/>
      <c r="T175" s="267"/>
      <c r="W175" s="264"/>
      <c r="X175" s="267"/>
    </row>
    <row r="176" spans="1:24">
      <c r="A176" s="265"/>
      <c r="B176" s="271"/>
      <c r="D176" s="264"/>
      <c r="H176" s="267"/>
      <c r="K176" s="264"/>
      <c r="L176" s="267"/>
      <c r="O176" s="264"/>
      <c r="P176" s="267"/>
      <c r="S176" s="264"/>
      <c r="T176" s="267"/>
      <c r="W176" s="264"/>
      <c r="X176" s="267"/>
    </row>
    <row r="177" spans="1:24">
      <c r="A177" s="265"/>
      <c r="B177" s="270"/>
      <c r="D177" s="264"/>
      <c r="H177" s="267"/>
      <c r="K177" s="264"/>
      <c r="L177" s="267"/>
      <c r="O177" s="264"/>
      <c r="P177" s="267"/>
      <c r="S177" s="264"/>
      <c r="T177" s="267"/>
      <c r="W177" s="264"/>
      <c r="X177" s="267"/>
    </row>
    <row r="178" spans="1:24">
      <c r="A178" s="265"/>
      <c r="B178" s="271"/>
      <c r="D178" s="264"/>
      <c r="H178" s="267"/>
      <c r="K178" s="264"/>
      <c r="L178" s="267"/>
      <c r="O178" s="264"/>
      <c r="P178" s="267"/>
      <c r="S178" s="264"/>
      <c r="T178" s="267"/>
      <c r="W178" s="264"/>
      <c r="X178" s="267"/>
    </row>
    <row r="179" spans="1:24">
      <c r="A179" s="265"/>
      <c r="B179" s="271"/>
      <c r="D179" s="264"/>
      <c r="H179" s="267"/>
      <c r="K179" s="264"/>
      <c r="L179" s="267"/>
      <c r="O179" s="264"/>
      <c r="P179" s="267"/>
      <c r="S179" s="264"/>
      <c r="T179" s="267"/>
      <c r="W179" s="264"/>
      <c r="X179" s="267"/>
    </row>
    <row r="180" spans="1:24">
      <c r="A180" s="265"/>
      <c r="B180" s="270"/>
      <c r="D180" s="264"/>
      <c r="H180" s="267"/>
      <c r="K180" s="264"/>
      <c r="L180" s="267"/>
      <c r="O180" s="264"/>
      <c r="P180" s="267"/>
      <c r="S180" s="264"/>
      <c r="T180" s="267"/>
      <c r="W180" s="264"/>
      <c r="X180" s="267"/>
    </row>
    <row r="181" spans="1:24">
      <c r="A181" s="265"/>
      <c r="B181" s="270"/>
      <c r="D181" s="264"/>
      <c r="H181" s="267"/>
      <c r="K181" s="264"/>
      <c r="L181" s="267"/>
      <c r="O181" s="264"/>
      <c r="P181" s="267"/>
      <c r="S181" s="264"/>
      <c r="T181" s="267"/>
      <c r="W181" s="264"/>
      <c r="X181" s="267"/>
    </row>
    <row r="182" spans="1:24">
      <c r="A182" s="265"/>
      <c r="B182" s="270"/>
      <c r="D182" s="264"/>
      <c r="H182" s="267"/>
      <c r="K182" s="264"/>
      <c r="L182" s="267"/>
      <c r="O182" s="264"/>
      <c r="P182" s="267"/>
      <c r="S182" s="264"/>
      <c r="T182" s="267"/>
      <c r="W182" s="264"/>
      <c r="X182" s="267"/>
    </row>
    <row r="183" spans="1:24">
      <c r="A183" s="265"/>
      <c r="B183" s="270"/>
      <c r="D183" s="264"/>
      <c r="H183" s="267"/>
      <c r="K183" s="264"/>
      <c r="L183" s="267"/>
      <c r="O183" s="264"/>
      <c r="P183" s="267"/>
      <c r="S183" s="264"/>
      <c r="T183" s="267"/>
      <c r="W183" s="264"/>
      <c r="X183" s="267"/>
    </row>
    <row r="184" spans="1:24">
      <c r="A184" s="265"/>
      <c r="B184" s="270"/>
      <c r="D184" s="264"/>
      <c r="H184" s="267"/>
      <c r="K184" s="264"/>
      <c r="L184" s="267"/>
      <c r="O184" s="264"/>
      <c r="P184" s="267"/>
      <c r="S184" s="264"/>
      <c r="T184" s="267"/>
      <c r="W184" s="264"/>
      <c r="X184" s="267"/>
    </row>
    <row r="185" spans="1:24">
      <c r="A185" s="265"/>
      <c r="B185" s="271"/>
      <c r="D185" s="264"/>
      <c r="H185" s="267"/>
      <c r="K185" s="264"/>
      <c r="L185" s="267"/>
      <c r="O185" s="264"/>
      <c r="P185" s="267"/>
      <c r="S185" s="264"/>
      <c r="T185" s="267"/>
      <c r="W185" s="264"/>
      <c r="X185" s="267"/>
    </row>
    <row r="186" spans="1:24">
      <c r="A186" s="265"/>
      <c r="B186" s="270"/>
      <c r="D186" s="264"/>
      <c r="H186" s="267"/>
      <c r="K186" s="264"/>
      <c r="L186" s="267"/>
      <c r="O186" s="264"/>
      <c r="P186" s="267"/>
      <c r="S186" s="264"/>
      <c r="T186" s="267"/>
      <c r="W186" s="264"/>
      <c r="X186" s="267"/>
    </row>
    <row r="187" spans="1:24">
      <c r="A187" s="265"/>
      <c r="B187" s="271"/>
      <c r="D187" s="264"/>
      <c r="H187" s="267"/>
      <c r="K187" s="264"/>
      <c r="L187" s="267"/>
      <c r="O187" s="264"/>
      <c r="P187" s="267"/>
      <c r="S187" s="264"/>
      <c r="T187" s="267"/>
      <c r="W187" s="264"/>
      <c r="X187" s="267"/>
    </row>
    <row r="188" spans="1:24">
      <c r="A188" s="265"/>
      <c r="B188" s="270"/>
      <c r="D188" s="264"/>
      <c r="H188" s="267"/>
      <c r="K188" s="264"/>
      <c r="L188" s="267"/>
      <c r="O188" s="264"/>
      <c r="P188" s="267"/>
      <c r="S188" s="264"/>
      <c r="T188" s="267"/>
      <c r="W188" s="264"/>
      <c r="X188" s="267"/>
    </row>
    <row r="189" spans="1:24">
      <c r="A189" s="265"/>
      <c r="B189" s="270"/>
      <c r="D189" s="264"/>
      <c r="H189" s="267"/>
      <c r="K189" s="264"/>
      <c r="L189" s="267"/>
      <c r="O189" s="264"/>
      <c r="P189" s="267"/>
      <c r="S189" s="264"/>
      <c r="T189" s="267"/>
      <c r="W189" s="264"/>
      <c r="X189" s="267"/>
    </row>
    <row r="190" spans="1:24">
      <c r="A190" s="265"/>
      <c r="B190" s="270"/>
      <c r="D190" s="264"/>
      <c r="H190" s="267"/>
      <c r="K190" s="264"/>
      <c r="L190" s="267"/>
      <c r="O190" s="264"/>
      <c r="P190" s="267"/>
      <c r="S190" s="264"/>
      <c r="T190" s="267"/>
      <c r="W190" s="264"/>
      <c r="X190" s="267"/>
    </row>
    <row r="191" spans="1:24">
      <c r="A191" s="265"/>
      <c r="B191" s="270"/>
      <c r="D191" s="264"/>
      <c r="H191" s="267"/>
      <c r="K191" s="264"/>
      <c r="L191" s="267"/>
      <c r="O191" s="264"/>
      <c r="P191" s="267"/>
      <c r="S191" s="264"/>
      <c r="T191" s="267"/>
      <c r="W191" s="264"/>
      <c r="X191" s="267"/>
    </row>
    <row r="192" spans="1:24">
      <c r="A192" s="265"/>
      <c r="B192" s="270"/>
      <c r="D192" s="264"/>
      <c r="H192" s="267"/>
      <c r="K192" s="264"/>
      <c r="L192" s="267"/>
      <c r="O192" s="264"/>
      <c r="P192" s="267"/>
      <c r="S192" s="264"/>
      <c r="T192" s="267"/>
      <c r="W192" s="264"/>
      <c r="X192" s="267"/>
    </row>
    <row r="193" spans="1:24">
      <c r="A193" s="265"/>
      <c r="B193" s="270"/>
      <c r="D193" s="264"/>
      <c r="H193" s="267"/>
      <c r="K193" s="264"/>
      <c r="L193" s="267"/>
      <c r="O193" s="264"/>
      <c r="P193" s="267"/>
      <c r="S193" s="264"/>
      <c r="T193" s="267"/>
      <c r="W193" s="264"/>
      <c r="X193" s="267"/>
    </row>
    <row r="194" spans="1:24">
      <c r="A194" s="265"/>
      <c r="B194" s="270"/>
      <c r="D194" s="264"/>
      <c r="H194" s="267"/>
      <c r="K194" s="264"/>
      <c r="L194" s="267"/>
      <c r="O194" s="264"/>
      <c r="P194" s="267"/>
      <c r="S194" s="264"/>
      <c r="T194" s="267"/>
      <c r="W194" s="264"/>
      <c r="X194" s="267"/>
    </row>
    <row r="195" spans="1:24">
      <c r="A195" s="265"/>
      <c r="B195" s="270"/>
      <c r="D195" s="264"/>
      <c r="H195" s="267"/>
      <c r="K195" s="264"/>
      <c r="L195" s="267"/>
      <c r="O195" s="264"/>
      <c r="P195" s="267"/>
      <c r="S195" s="264"/>
      <c r="T195" s="267"/>
      <c r="W195" s="264"/>
      <c r="X195" s="267"/>
    </row>
    <row r="196" spans="1:24">
      <c r="A196" s="265"/>
      <c r="B196" s="271"/>
      <c r="D196" s="264"/>
      <c r="H196" s="267"/>
      <c r="K196" s="264"/>
      <c r="L196" s="267"/>
      <c r="O196" s="264"/>
      <c r="P196" s="267"/>
      <c r="S196" s="264"/>
      <c r="T196" s="267"/>
      <c r="W196" s="264"/>
      <c r="X196" s="267"/>
    </row>
    <row r="197" spans="1:24">
      <c r="A197" s="265"/>
      <c r="B197" s="270"/>
      <c r="D197" s="264"/>
      <c r="H197" s="267"/>
      <c r="K197" s="264"/>
      <c r="L197" s="267"/>
      <c r="O197" s="264"/>
      <c r="P197" s="267"/>
      <c r="S197" s="264"/>
      <c r="T197" s="267"/>
      <c r="W197" s="264"/>
      <c r="X197" s="267"/>
    </row>
    <row r="198" spans="1:24">
      <c r="A198" s="265"/>
      <c r="B198" s="270"/>
      <c r="D198" s="264"/>
      <c r="H198" s="267"/>
      <c r="K198" s="264"/>
      <c r="L198" s="267"/>
      <c r="O198" s="264"/>
      <c r="P198" s="267"/>
      <c r="S198" s="264"/>
      <c r="T198" s="267"/>
      <c r="W198" s="264"/>
      <c r="X198" s="267"/>
    </row>
    <row r="199" spans="1:24">
      <c r="A199" s="265"/>
      <c r="B199" s="270"/>
      <c r="D199" s="264"/>
      <c r="H199" s="267"/>
      <c r="K199" s="264"/>
      <c r="L199" s="267"/>
      <c r="O199" s="264"/>
      <c r="P199" s="267"/>
      <c r="S199" s="264"/>
      <c r="T199" s="267"/>
      <c r="W199" s="264"/>
      <c r="X199" s="267"/>
    </row>
    <row r="200" spans="1:24">
      <c r="A200" s="265"/>
      <c r="B200" s="270"/>
      <c r="D200" s="264"/>
      <c r="H200" s="267"/>
      <c r="K200" s="264"/>
      <c r="L200" s="267"/>
      <c r="O200" s="264"/>
      <c r="P200" s="267"/>
      <c r="S200" s="264"/>
      <c r="T200" s="267"/>
      <c r="W200" s="264"/>
      <c r="X200" s="267"/>
    </row>
    <row r="201" spans="1:24">
      <c r="A201" s="265"/>
      <c r="B201" s="270"/>
      <c r="D201" s="264"/>
      <c r="H201" s="267"/>
      <c r="K201" s="264"/>
      <c r="L201" s="267"/>
      <c r="O201" s="264"/>
      <c r="P201" s="267"/>
      <c r="S201" s="264"/>
      <c r="T201" s="267"/>
      <c r="W201" s="264"/>
      <c r="X201" s="267"/>
    </row>
    <row r="202" spans="1:24">
      <c r="A202" s="265"/>
      <c r="B202" s="270"/>
      <c r="D202" s="264"/>
      <c r="H202" s="267"/>
      <c r="K202" s="264"/>
      <c r="L202" s="267"/>
      <c r="O202" s="264"/>
      <c r="P202" s="267"/>
      <c r="S202" s="264"/>
      <c r="T202" s="267"/>
      <c r="W202" s="264"/>
      <c r="X202" s="267"/>
    </row>
    <row r="203" spans="1:24">
      <c r="A203" s="265"/>
      <c r="B203" s="270"/>
      <c r="D203" s="264"/>
      <c r="H203" s="267"/>
      <c r="K203" s="264"/>
      <c r="L203" s="267"/>
      <c r="O203" s="264"/>
      <c r="P203" s="267"/>
      <c r="S203" s="264"/>
      <c r="T203" s="267"/>
      <c r="W203" s="264"/>
      <c r="X203" s="267"/>
    </row>
    <row r="204" spans="1:24">
      <c r="A204" s="265"/>
      <c r="B204" s="270"/>
      <c r="D204" s="264"/>
      <c r="H204" s="267"/>
      <c r="K204" s="264"/>
      <c r="L204" s="267"/>
      <c r="O204" s="264"/>
      <c r="P204" s="267"/>
      <c r="S204" s="264"/>
      <c r="T204" s="267"/>
      <c r="W204" s="264"/>
      <c r="X204" s="267"/>
    </row>
    <row r="205" spans="1:24">
      <c r="A205" s="265"/>
      <c r="B205" s="265"/>
      <c r="D205" s="264"/>
      <c r="H205" s="267"/>
      <c r="K205" s="264"/>
      <c r="L205" s="267"/>
      <c r="O205" s="264"/>
      <c r="P205" s="267"/>
      <c r="S205" s="264"/>
      <c r="T205" s="267"/>
      <c r="W205" s="264"/>
      <c r="X205" s="267"/>
    </row>
    <row r="206" spans="1:24">
      <c r="A206" s="262"/>
      <c r="B206" s="265"/>
      <c r="D206" s="264"/>
      <c r="H206" s="267"/>
      <c r="K206" s="264"/>
      <c r="L206" s="267"/>
      <c r="O206" s="264"/>
      <c r="P206" s="267"/>
      <c r="S206" s="264"/>
      <c r="T206" s="267"/>
      <c r="W206" s="264"/>
      <c r="X206" s="267"/>
    </row>
    <row r="207" spans="1:24">
      <c r="A207" s="265"/>
      <c r="B207" s="265"/>
      <c r="D207" s="264"/>
      <c r="H207" s="267"/>
      <c r="K207" s="264"/>
      <c r="L207" s="267"/>
      <c r="O207" s="264"/>
      <c r="P207" s="267"/>
      <c r="S207" s="264"/>
      <c r="T207" s="267"/>
      <c r="W207" s="264"/>
      <c r="X207" s="267"/>
    </row>
    <row r="208" spans="1:24">
      <c r="A208" s="265"/>
      <c r="B208" s="265"/>
      <c r="D208" s="264"/>
      <c r="H208" s="267"/>
      <c r="K208" s="264"/>
      <c r="L208" s="267"/>
      <c r="O208" s="264"/>
      <c r="P208" s="267"/>
      <c r="S208" s="264"/>
      <c r="T208" s="267"/>
      <c r="W208" s="264"/>
      <c r="X208" s="267"/>
    </row>
    <row r="209" spans="1:24">
      <c r="A209" s="265"/>
      <c r="B209" s="262"/>
      <c r="D209" s="264"/>
      <c r="H209" s="267"/>
      <c r="K209" s="264"/>
      <c r="L209" s="267"/>
      <c r="O209" s="264"/>
      <c r="P209" s="267"/>
      <c r="S209" s="264"/>
      <c r="T209" s="267"/>
      <c r="W209" s="264"/>
      <c r="X209" s="267"/>
    </row>
    <row r="210" spans="1:24">
      <c r="A210" s="265"/>
      <c r="B210" s="265"/>
      <c r="D210" s="264"/>
      <c r="H210" s="267"/>
      <c r="K210" s="264"/>
      <c r="L210" s="267"/>
      <c r="O210" s="264"/>
      <c r="P210" s="267"/>
      <c r="S210" s="264"/>
      <c r="T210" s="267"/>
      <c r="W210" s="264"/>
      <c r="X210" s="267"/>
    </row>
    <row r="211" spans="1:24">
      <c r="A211" s="265"/>
      <c r="B211" s="262"/>
      <c r="D211" s="264"/>
      <c r="H211" s="267"/>
      <c r="K211" s="264"/>
      <c r="L211" s="267"/>
      <c r="O211" s="264"/>
      <c r="P211" s="267"/>
      <c r="S211" s="264"/>
      <c r="T211" s="267"/>
      <c r="W211" s="264"/>
      <c r="X211" s="267"/>
    </row>
    <row r="212" spans="1:24">
      <c r="A212" s="265"/>
      <c r="B212" s="262"/>
      <c r="D212" s="264"/>
      <c r="H212" s="267"/>
      <c r="K212" s="264"/>
      <c r="L212" s="267"/>
      <c r="O212" s="264"/>
      <c r="P212" s="267"/>
      <c r="S212" s="264"/>
      <c r="T212" s="267"/>
      <c r="W212" s="264"/>
      <c r="X212" s="267"/>
    </row>
    <row r="213" spans="1:24">
      <c r="A213" s="265"/>
      <c r="B213" s="265"/>
      <c r="D213" s="264"/>
      <c r="H213" s="267"/>
      <c r="K213" s="264"/>
      <c r="L213" s="267"/>
      <c r="O213" s="264"/>
      <c r="P213" s="267"/>
      <c r="S213" s="264"/>
      <c r="T213" s="267"/>
      <c r="W213" s="264"/>
      <c r="X213" s="267"/>
    </row>
    <row r="214" spans="1:24">
      <c r="A214" s="265"/>
      <c r="B214" s="265"/>
      <c r="D214" s="264"/>
      <c r="H214" s="267"/>
      <c r="K214" s="264"/>
      <c r="L214" s="267"/>
      <c r="O214" s="264"/>
      <c r="P214" s="267"/>
      <c r="S214" s="264"/>
      <c r="T214" s="267"/>
      <c r="W214" s="264"/>
      <c r="X214" s="267"/>
    </row>
    <row r="215" spans="1:24">
      <c r="A215" s="265"/>
      <c r="B215" s="262"/>
      <c r="D215" s="264"/>
      <c r="H215" s="267"/>
      <c r="K215" s="264"/>
      <c r="L215" s="267"/>
      <c r="O215" s="264"/>
      <c r="P215" s="267"/>
      <c r="S215" s="264"/>
      <c r="T215" s="267"/>
      <c r="W215" s="264"/>
      <c r="X215" s="267"/>
    </row>
    <row r="216" spans="1:24">
      <c r="A216" s="265"/>
      <c r="B216" s="265"/>
      <c r="D216" s="264"/>
      <c r="H216" s="267"/>
      <c r="K216" s="264"/>
      <c r="L216" s="267"/>
      <c r="O216" s="264"/>
      <c r="P216" s="267"/>
      <c r="S216" s="264"/>
      <c r="T216" s="267"/>
      <c r="W216" s="264"/>
      <c r="X216" s="267"/>
    </row>
    <row r="217" spans="1:24">
      <c r="A217" s="265"/>
      <c r="B217" s="265"/>
      <c r="D217" s="264"/>
      <c r="H217" s="267"/>
      <c r="K217" s="264"/>
      <c r="L217" s="267"/>
      <c r="O217" s="264"/>
      <c r="P217" s="267"/>
      <c r="S217" s="264"/>
      <c r="T217" s="267"/>
      <c r="W217" s="264"/>
      <c r="X217" s="267"/>
    </row>
    <row r="218" spans="1:24">
      <c r="A218" s="265"/>
      <c r="B218" s="265"/>
      <c r="D218" s="264"/>
      <c r="H218" s="267"/>
      <c r="K218" s="264"/>
      <c r="L218" s="267"/>
      <c r="O218" s="264"/>
      <c r="P218" s="267"/>
      <c r="S218" s="264"/>
      <c r="T218" s="267"/>
      <c r="W218" s="264"/>
      <c r="X218" s="267"/>
    </row>
    <row r="219" spans="1:24">
      <c r="A219" s="265"/>
      <c r="B219" s="265"/>
      <c r="D219" s="264"/>
      <c r="H219" s="267"/>
      <c r="K219" s="264"/>
      <c r="L219" s="267"/>
      <c r="O219" s="264"/>
      <c r="P219" s="267"/>
      <c r="S219" s="264"/>
      <c r="T219" s="267"/>
      <c r="W219" s="264"/>
      <c r="X219" s="267"/>
    </row>
    <row r="220" spans="1:24">
      <c r="A220" s="265"/>
      <c r="B220" s="265"/>
      <c r="D220" s="264"/>
      <c r="H220" s="267"/>
      <c r="K220" s="264"/>
      <c r="L220" s="267"/>
      <c r="O220" s="264"/>
      <c r="P220" s="267"/>
      <c r="S220" s="264"/>
      <c r="T220" s="267"/>
      <c r="W220" s="264"/>
      <c r="X220" s="267"/>
    </row>
    <row r="221" spans="1:24">
      <c r="A221" s="262"/>
      <c r="B221" s="265"/>
      <c r="D221" s="264"/>
      <c r="H221" s="267"/>
      <c r="K221" s="264"/>
      <c r="L221" s="267"/>
      <c r="O221" s="264"/>
      <c r="P221" s="267"/>
      <c r="S221" s="264"/>
      <c r="T221" s="267"/>
      <c r="W221" s="264"/>
      <c r="X221" s="267"/>
    </row>
    <row r="222" spans="1:24">
      <c r="A222" s="265"/>
      <c r="B222" s="265"/>
      <c r="D222" s="264"/>
      <c r="H222" s="267"/>
      <c r="K222" s="264"/>
      <c r="L222" s="267"/>
      <c r="O222" s="264"/>
      <c r="P222" s="267"/>
      <c r="S222" s="264"/>
      <c r="T222" s="267"/>
      <c r="W222" s="264"/>
      <c r="X222" s="267"/>
    </row>
    <row r="223" spans="1:24">
      <c r="A223" s="265"/>
      <c r="B223" s="262"/>
      <c r="D223" s="264"/>
      <c r="H223" s="267"/>
      <c r="K223" s="264"/>
      <c r="L223" s="267"/>
      <c r="O223" s="264"/>
      <c r="P223" s="267"/>
      <c r="S223" s="264"/>
      <c r="T223" s="267"/>
      <c r="W223" s="264"/>
      <c r="X223" s="267"/>
    </row>
    <row r="224" spans="1:24">
      <c r="A224" s="262"/>
      <c r="B224" s="265"/>
      <c r="D224" s="264"/>
      <c r="H224" s="267"/>
      <c r="K224" s="264"/>
      <c r="L224" s="267"/>
      <c r="O224" s="264"/>
      <c r="P224" s="267"/>
      <c r="S224" s="264"/>
      <c r="T224" s="267"/>
      <c r="W224" s="264"/>
      <c r="X224" s="267"/>
    </row>
    <row r="225" spans="1:24">
      <c r="A225" s="265"/>
      <c r="B225" s="265"/>
      <c r="D225" s="264"/>
      <c r="H225" s="267"/>
      <c r="K225" s="264"/>
      <c r="L225" s="267"/>
      <c r="O225" s="264"/>
      <c r="P225" s="267"/>
      <c r="S225" s="264"/>
      <c r="T225" s="267"/>
      <c r="W225" s="264"/>
      <c r="X225" s="267"/>
    </row>
    <row r="226" spans="1:24">
      <c r="A226" s="265"/>
      <c r="B226" s="265"/>
      <c r="D226" s="264"/>
      <c r="H226" s="267"/>
      <c r="K226" s="264"/>
      <c r="L226" s="267"/>
      <c r="O226" s="264"/>
      <c r="P226" s="267"/>
      <c r="S226" s="264"/>
      <c r="T226" s="267"/>
      <c r="W226" s="264"/>
      <c r="X226" s="267"/>
    </row>
    <row r="227" spans="1:24">
      <c r="A227" s="265"/>
      <c r="B227" s="265"/>
      <c r="D227" s="264"/>
      <c r="H227" s="267"/>
      <c r="K227" s="264"/>
      <c r="L227" s="267"/>
      <c r="O227" s="264"/>
      <c r="P227" s="267"/>
      <c r="S227" s="264"/>
      <c r="T227" s="267"/>
      <c r="W227" s="264"/>
      <c r="X227" s="267"/>
    </row>
    <row r="228" spans="1:24">
      <c r="A228" s="265"/>
      <c r="B228" s="265"/>
      <c r="D228" s="264"/>
      <c r="H228" s="267"/>
      <c r="K228" s="264"/>
      <c r="L228" s="267"/>
      <c r="O228" s="264"/>
      <c r="P228" s="267"/>
      <c r="S228" s="264"/>
      <c r="T228" s="267"/>
      <c r="W228" s="264"/>
      <c r="X228" s="267"/>
    </row>
    <row r="229" spans="1:24">
      <c r="A229" s="265"/>
      <c r="B229" s="265"/>
      <c r="D229" s="264"/>
      <c r="H229" s="267"/>
      <c r="K229" s="264"/>
      <c r="L229" s="267"/>
      <c r="O229" s="264"/>
      <c r="P229" s="267"/>
      <c r="S229" s="264"/>
      <c r="T229" s="267"/>
      <c r="W229" s="264"/>
      <c r="X229" s="267"/>
    </row>
    <row r="230" spans="1:24">
      <c r="A230" s="265"/>
      <c r="B230" s="265"/>
      <c r="D230" s="264"/>
      <c r="H230" s="267"/>
      <c r="K230" s="264"/>
      <c r="L230" s="267"/>
      <c r="O230" s="264"/>
      <c r="P230" s="267"/>
      <c r="S230" s="264"/>
      <c r="T230" s="267"/>
      <c r="W230" s="264"/>
      <c r="X230" s="267"/>
    </row>
    <row r="231" spans="1:24">
      <c r="A231" s="265"/>
      <c r="B231" s="265"/>
      <c r="D231" s="264"/>
      <c r="H231" s="267"/>
      <c r="K231" s="264"/>
      <c r="L231" s="267"/>
      <c r="O231" s="264"/>
      <c r="P231" s="267"/>
      <c r="S231" s="264"/>
      <c r="T231" s="267"/>
      <c r="W231" s="264"/>
      <c r="X231" s="267"/>
    </row>
    <row r="232" spans="1:24">
      <c r="A232" s="265"/>
      <c r="B232" s="262"/>
      <c r="D232" s="264"/>
      <c r="H232" s="267"/>
      <c r="K232" s="264"/>
      <c r="L232" s="267"/>
      <c r="O232" s="264"/>
      <c r="P232" s="267"/>
      <c r="S232" s="264"/>
      <c r="T232" s="267"/>
      <c r="W232" s="264"/>
      <c r="X232" s="267"/>
    </row>
    <row r="233" spans="1:24">
      <c r="A233" s="265"/>
      <c r="B233" s="265"/>
      <c r="D233" s="264"/>
      <c r="H233" s="267"/>
      <c r="K233" s="264"/>
      <c r="L233" s="267"/>
      <c r="O233" s="264"/>
      <c r="P233" s="267"/>
      <c r="S233" s="264"/>
      <c r="T233" s="267"/>
      <c r="W233" s="264"/>
      <c r="X233" s="267"/>
    </row>
    <row r="234" spans="1:24">
      <c r="A234" s="265"/>
      <c r="B234" s="265"/>
      <c r="D234" s="264"/>
      <c r="H234" s="267"/>
      <c r="K234" s="264"/>
      <c r="L234" s="267"/>
      <c r="O234" s="264"/>
      <c r="P234" s="267"/>
      <c r="S234" s="264"/>
      <c r="T234" s="267"/>
      <c r="W234" s="264"/>
      <c r="X234" s="267"/>
    </row>
    <row r="235" spans="1:24">
      <c r="A235" s="265"/>
      <c r="B235" s="265"/>
      <c r="D235" s="264"/>
      <c r="H235" s="267"/>
      <c r="K235" s="264"/>
      <c r="L235" s="267"/>
      <c r="O235" s="264"/>
      <c r="P235" s="267"/>
      <c r="S235" s="264"/>
      <c r="T235" s="267"/>
      <c r="W235" s="264"/>
      <c r="X235" s="267"/>
    </row>
    <row r="236" spans="1:24">
      <c r="A236" s="265"/>
      <c r="B236" s="262"/>
      <c r="D236" s="264"/>
      <c r="H236" s="267"/>
      <c r="K236" s="264"/>
      <c r="L236" s="267"/>
      <c r="O236" s="264"/>
      <c r="P236" s="267"/>
      <c r="S236" s="264"/>
      <c r="T236" s="267"/>
      <c r="W236" s="264"/>
      <c r="X236" s="267"/>
    </row>
    <row r="237" spans="1:24">
      <c r="A237" s="265"/>
      <c r="B237" s="262"/>
      <c r="D237" s="264"/>
      <c r="H237" s="267"/>
      <c r="K237" s="264"/>
      <c r="L237" s="267"/>
      <c r="O237" s="264"/>
      <c r="P237" s="267"/>
      <c r="S237" s="264"/>
      <c r="T237" s="267"/>
      <c r="W237" s="264"/>
      <c r="X237" s="267"/>
    </row>
    <row r="238" spans="1:24">
      <c r="A238" s="265"/>
      <c r="B238" s="262"/>
      <c r="D238" s="264"/>
      <c r="H238" s="267"/>
      <c r="K238" s="264"/>
      <c r="L238" s="267"/>
      <c r="O238" s="264"/>
      <c r="P238" s="267"/>
      <c r="S238" s="264"/>
      <c r="T238" s="267"/>
      <c r="W238" s="264"/>
      <c r="X238" s="267"/>
    </row>
    <row r="239" spans="1:24">
      <c r="A239" s="265"/>
      <c r="B239" s="265"/>
      <c r="D239" s="264"/>
      <c r="H239" s="267"/>
      <c r="K239" s="264"/>
      <c r="L239" s="267"/>
      <c r="O239" s="264"/>
      <c r="P239" s="267"/>
      <c r="S239" s="264"/>
      <c r="T239" s="267"/>
      <c r="W239" s="264"/>
      <c r="X239" s="267"/>
    </row>
    <row r="240" spans="1:24">
      <c r="A240" s="265"/>
      <c r="B240" s="262"/>
      <c r="D240" s="264"/>
      <c r="H240" s="267"/>
      <c r="K240" s="264"/>
      <c r="L240" s="267"/>
      <c r="O240" s="264"/>
      <c r="P240" s="267"/>
      <c r="S240" s="264"/>
      <c r="T240" s="267"/>
      <c r="W240" s="264"/>
      <c r="X240" s="267"/>
    </row>
    <row r="241" spans="1:24">
      <c r="A241" s="265"/>
      <c r="B241" s="265"/>
      <c r="D241" s="264"/>
      <c r="H241" s="267"/>
      <c r="K241" s="264"/>
      <c r="L241" s="267"/>
      <c r="O241" s="264"/>
      <c r="P241" s="267"/>
      <c r="S241" s="264"/>
      <c r="T241" s="267"/>
      <c r="W241" s="264"/>
      <c r="X241" s="267"/>
    </row>
    <row r="242" spans="1:24">
      <c r="A242" s="265"/>
      <c r="B242" s="262"/>
      <c r="D242" s="264"/>
      <c r="H242" s="267"/>
      <c r="K242" s="264"/>
      <c r="L242" s="267"/>
      <c r="O242" s="264"/>
      <c r="P242" s="267"/>
      <c r="S242" s="264"/>
      <c r="T242" s="267"/>
      <c r="W242" s="264"/>
      <c r="X242" s="267"/>
    </row>
    <row r="243" spans="1:24">
      <c r="A243" s="265"/>
      <c r="B243" s="262"/>
      <c r="D243" s="264"/>
      <c r="H243" s="267"/>
      <c r="K243" s="264"/>
      <c r="L243" s="267"/>
      <c r="O243" s="264"/>
      <c r="P243" s="267"/>
      <c r="S243" s="264"/>
      <c r="T243" s="267"/>
      <c r="W243" s="264"/>
      <c r="X243" s="267"/>
    </row>
    <row r="244" spans="1:24">
      <c r="A244" s="265"/>
      <c r="B244" s="265"/>
      <c r="D244" s="264"/>
      <c r="H244" s="267"/>
      <c r="K244" s="264"/>
      <c r="L244" s="267"/>
      <c r="O244" s="264"/>
      <c r="P244" s="267"/>
      <c r="S244" s="264"/>
      <c r="T244" s="267"/>
      <c r="W244" s="264"/>
      <c r="X244" s="267"/>
    </row>
    <row r="245" spans="1:24">
      <c r="A245" s="265"/>
      <c r="B245" s="265"/>
      <c r="D245" s="264"/>
      <c r="H245" s="267"/>
      <c r="K245" s="264"/>
      <c r="L245" s="267"/>
      <c r="O245" s="264"/>
      <c r="P245" s="267"/>
      <c r="S245" s="264"/>
      <c r="T245" s="267"/>
      <c r="W245" s="264"/>
      <c r="X245" s="267"/>
    </row>
    <row r="246" spans="1:24">
      <c r="A246" s="265"/>
      <c r="B246" s="262"/>
      <c r="D246" s="264"/>
      <c r="H246" s="267"/>
      <c r="K246" s="264"/>
      <c r="L246" s="267"/>
      <c r="O246" s="264"/>
      <c r="P246" s="267"/>
      <c r="S246" s="264"/>
      <c r="T246" s="267"/>
      <c r="W246" s="264"/>
      <c r="X246" s="267"/>
    </row>
    <row r="247" spans="1:24">
      <c r="A247" s="265"/>
      <c r="B247" s="265"/>
      <c r="D247" s="264"/>
      <c r="H247" s="267"/>
      <c r="K247" s="264"/>
      <c r="L247" s="267"/>
      <c r="O247" s="264"/>
      <c r="P247" s="267"/>
      <c r="S247" s="264"/>
      <c r="T247" s="267"/>
      <c r="W247" s="264"/>
      <c r="X247" s="267"/>
    </row>
    <row r="248" spans="1:24">
      <c r="A248" s="265"/>
      <c r="B248" s="262"/>
      <c r="D248" s="264"/>
      <c r="H248" s="267"/>
      <c r="K248" s="264"/>
      <c r="L248" s="267"/>
      <c r="O248" s="264"/>
      <c r="P248" s="267"/>
      <c r="S248" s="264"/>
      <c r="T248" s="267"/>
      <c r="W248" s="264"/>
      <c r="X248" s="267"/>
    </row>
    <row r="249" spans="1:24">
      <c r="A249" s="265"/>
      <c r="B249" s="265"/>
      <c r="D249" s="264"/>
      <c r="H249" s="267"/>
      <c r="K249" s="264"/>
      <c r="L249" s="267"/>
      <c r="O249" s="264"/>
      <c r="P249" s="267"/>
      <c r="S249" s="264"/>
      <c r="T249" s="267"/>
      <c r="W249" s="264"/>
      <c r="X249" s="267"/>
    </row>
    <row r="250" spans="1:24">
      <c r="A250" s="265"/>
      <c r="B250" s="265"/>
      <c r="D250" s="264"/>
      <c r="H250" s="267"/>
      <c r="K250" s="264"/>
      <c r="L250" s="267"/>
      <c r="O250" s="264"/>
      <c r="P250" s="267"/>
      <c r="S250" s="264"/>
      <c r="T250" s="267"/>
      <c r="W250" s="264"/>
      <c r="X250" s="267"/>
    </row>
    <row r="251" spans="1:24">
      <c r="A251" s="265"/>
      <c r="B251" s="265"/>
      <c r="D251" s="264"/>
      <c r="H251" s="267"/>
      <c r="K251" s="264"/>
      <c r="L251" s="267"/>
      <c r="O251" s="264"/>
      <c r="P251" s="267"/>
      <c r="S251" s="264"/>
      <c r="T251" s="267"/>
      <c r="W251" s="264"/>
      <c r="X251" s="267"/>
    </row>
    <row r="252" spans="1:24">
      <c r="A252" s="265"/>
      <c r="B252" s="262"/>
      <c r="D252" s="264"/>
      <c r="H252" s="267"/>
      <c r="K252" s="264"/>
      <c r="L252" s="267"/>
      <c r="O252" s="264"/>
      <c r="P252" s="267"/>
      <c r="S252" s="264"/>
      <c r="T252" s="267"/>
      <c r="W252" s="264"/>
      <c r="X252" s="267"/>
    </row>
    <row r="253" spans="1:24">
      <c r="A253" s="265"/>
      <c r="B253" s="262"/>
      <c r="D253" s="264"/>
      <c r="H253" s="267"/>
      <c r="K253" s="264"/>
      <c r="L253" s="267"/>
      <c r="O253" s="264"/>
      <c r="P253" s="267"/>
      <c r="S253" s="264"/>
      <c r="T253" s="267"/>
      <c r="W253" s="264"/>
      <c r="X253" s="267"/>
    </row>
    <row r="254" spans="1:24">
      <c r="A254" s="265"/>
      <c r="B254" s="262"/>
      <c r="D254" s="264"/>
      <c r="H254" s="267"/>
      <c r="K254" s="264"/>
      <c r="L254" s="267"/>
      <c r="O254" s="264"/>
      <c r="P254" s="267"/>
      <c r="S254" s="264"/>
      <c r="T254" s="267"/>
      <c r="W254" s="264"/>
      <c r="X254" s="267"/>
    </row>
    <row r="255" spans="1:24">
      <c r="A255" s="265"/>
      <c r="B255" s="262"/>
      <c r="D255" s="264"/>
      <c r="H255" s="267"/>
      <c r="K255" s="264"/>
      <c r="L255" s="267"/>
      <c r="O255" s="264"/>
      <c r="P255" s="267"/>
      <c r="S255" s="264"/>
      <c r="T255" s="267"/>
      <c r="W255" s="264"/>
      <c r="X255" s="267"/>
    </row>
    <row r="256" spans="1:24">
      <c r="A256" s="265"/>
      <c r="B256" s="265"/>
      <c r="D256" s="264"/>
      <c r="H256" s="267"/>
      <c r="K256" s="264"/>
      <c r="L256" s="267"/>
      <c r="O256" s="264"/>
      <c r="P256" s="267"/>
      <c r="S256" s="264"/>
      <c r="T256" s="267"/>
      <c r="W256" s="264"/>
      <c r="X256" s="267"/>
    </row>
    <row r="257" spans="1:24">
      <c r="A257" s="265"/>
      <c r="B257" s="265"/>
      <c r="D257" s="264"/>
      <c r="H257" s="267"/>
      <c r="K257" s="264"/>
      <c r="L257" s="267"/>
      <c r="O257" s="264"/>
      <c r="P257" s="267"/>
      <c r="S257" s="264"/>
      <c r="T257" s="267"/>
      <c r="W257" s="264"/>
      <c r="X257" s="267"/>
    </row>
    <row r="258" spans="1:24">
      <c r="A258" s="265"/>
      <c r="B258" s="265"/>
      <c r="D258" s="264"/>
      <c r="H258" s="267"/>
      <c r="K258" s="264"/>
      <c r="L258" s="267"/>
      <c r="O258" s="264"/>
      <c r="P258" s="267"/>
      <c r="S258" s="264"/>
      <c r="T258" s="267"/>
      <c r="W258" s="264"/>
      <c r="X258" s="267"/>
    </row>
    <row r="259" spans="1:24">
      <c r="A259" s="265"/>
      <c r="B259" s="265"/>
      <c r="D259" s="264"/>
      <c r="H259" s="267"/>
      <c r="K259" s="264"/>
      <c r="L259" s="267"/>
      <c r="O259" s="264"/>
      <c r="P259" s="267"/>
      <c r="S259" s="264"/>
      <c r="T259" s="267"/>
      <c r="W259" s="264"/>
      <c r="X259" s="267"/>
    </row>
    <row r="260" spans="1:24">
      <c r="A260" s="265"/>
      <c r="B260" s="265"/>
      <c r="D260" s="264"/>
      <c r="H260" s="267"/>
      <c r="K260" s="264"/>
      <c r="L260" s="267"/>
      <c r="O260" s="264"/>
      <c r="P260" s="267"/>
      <c r="S260" s="264"/>
      <c r="T260" s="267"/>
      <c r="W260" s="264"/>
      <c r="X260" s="267"/>
    </row>
    <row r="261" spans="1:24">
      <c r="A261" s="265"/>
      <c r="B261" s="265"/>
      <c r="D261" s="264"/>
      <c r="H261" s="267"/>
      <c r="K261" s="264"/>
      <c r="L261" s="267"/>
      <c r="O261" s="264"/>
      <c r="P261" s="267"/>
      <c r="S261" s="264"/>
      <c r="T261" s="267"/>
      <c r="W261" s="264"/>
      <c r="X261" s="267"/>
    </row>
    <row r="262" spans="1:24">
      <c r="A262" s="265"/>
      <c r="B262" s="265"/>
      <c r="D262" s="264"/>
      <c r="H262" s="267"/>
      <c r="K262" s="264"/>
      <c r="L262" s="267"/>
      <c r="O262" s="264"/>
      <c r="P262" s="267"/>
      <c r="S262" s="264"/>
      <c r="T262" s="267"/>
      <c r="W262" s="264"/>
      <c r="X262" s="267"/>
    </row>
    <row r="263" spans="1:24">
      <c r="A263" s="265"/>
      <c r="B263" s="262"/>
      <c r="D263" s="264"/>
      <c r="H263" s="267"/>
      <c r="K263" s="264"/>
      <c r="L263" s="267"/>
      <c r="O263" s="264"/>
      <c r="P263" s="267"/>
      <c r="S263" s="264"/>
      <c r="T263" s="267"/>
      <c r="W263" s="264"/>
      <c r="X263" s="267"/>
    </row>
    <row r="264" spans="1:24">
      <c r="A264" s="265"/>
      <c r="B264" s="265"/>
      <c r="D264" s="264"/>
      <c r="H264" s="267"/>
      <c r="K264" s="264"/>
      <c r="L264" s="267"/>
      <c r="O264" s="264"/>
      <c r="P264" s="267"/>
      <c r="S264" s="264"/>
      <c r="T264" s="267"/>
      <c r="W264" s="264"/>
      <c r="X264" s="267"/>
    </row>
    <row r="265" spans="1:24">
      <c r="A265" s="265"/>
      <c r="B265" s="265"/>
      <c r="D265" s="264"/>
      <c r="H265" s="267"/>
      <c r="K265" s="264"/>
      <c r="L265" s="267"/>
      <c r="O265" s="264"/>
      <c r="P265" s="267"/>
      <c r="S265" s="264"/>
      <c r="T265" s="267"/>
      <c r="W265" s="264"/>
      <c r="X265" s="267"/>
    </row>
    <row r="266" spans="1:24">
      <c r="A266" s="265"/>
      <c r="B266" s="265"/>
      <c r="D266" s="264"/>
      <c r="H266" s="267"/>
      <c r="K266" s="264"/>
      <c r="L266" s="267"/>
      <c r="O266" s="264"/>
      <c r="P266" s="267"/>
      <c r="S266" s="264"/>
      <c r="T266" s="267"/>
      <c r="W266" s="264"/>
      <c r="X266" s="267"/>
    </row>
    <row r="267" spans="1:24">
      <c r="A267" s="265"/>
      <c r="B267" s="265"/>
      <c r="D267" s="264"/>
      <c r="H267" s="267"/>
      <c r="K267" s="264"/>
      <c r="L267" s="267"/>
      <c r="O267" s="264"/>
      <c r="P267" s="267"/>
      <c r="S267" s="264"/>
      <c r="T267" s="267"/>
      <c r="W267" s="264"/>
      <c r="X267" s="267"/>
    </row>
    <row r="268" spans="1:24">
      <c r="A268" s="265"/>
      <c r="B268" s="262"/>
      <c r="D268" s="264"/>
      <c r="H268" s="267"/>
      <c r="K268" s="264"/>
      <c r="L268" s="267"/>
      <c r="O268" s="264"/>
      <c r="P268" s="267"/>
      <c r="S268" s="264"/>
      <c r="T268" s="267"/>
      <c r="W268" s="264"/>
      <c r="X268" s="267"/>
    </row>
    <row r="269" spans="1:24">
      <c r="A269" s="262"/>
      <c r="B269" s="262"/>
      <c r="D269" s="264"/>
      <c r="H269" s="267"/>
      <c r="K269" s="264"/>
      <c r="L269" s="267"/>
      <c r="O269" s="264"/>
      <c r="P269" s="267"/>
      <c r="S269" s="264"/>
      <c r="T269" s="267"/>
      <c r="W269" s="264"/>
      <c r="X269" s="267"/>
    </row>
    <row r="270" spans="1:24">
      <c r="A270" s="265"/>
      <c r="B270" s="262"/>
      <c r="D270" s="264"/>
      <c r="H270" s="267"/>
      <c r="K270" s="264"/>
      <c r="L270" s="267"/>
      <c r="O270" s="264"/>
      <c r="P270" s="267"/>
      <c r="S270" s="264"/>
      <c r="T270" s="267"/>
      <c r="W270" s="264"/>
      <c r="X270" s="267"/>
    </row>
    <row r="271" spans="1:24">
      <c r="A271" s="265"/>
      <c r="B271" s="265"/>
      <c r="D271" s="264"/>
      <c r="H271" s="267"/>
      <c r="K271" s="264"/>
      <c r="L271" s="267"/>
      <c r="O271" s="264"/>
      <c r="P271" s="267"/>
      <c r="S271" s="264"/>
      <c r="T271" s="267"/>
      <c r="W271" s="264"/>
      <c r="X271" s="267"/>
    </row>
    <row r="272" spans="1:24">
      <c r="A272" s="265"/>
      <c r="B272" s="265"/>
      <c r="D272" s="264"/>
      <c r="H272" s="267"/>
      <c r="K272" s="264"/>
      <c r="L272" s="267"/>
      <c r="O272" s="264"/>
      <c r="P272" s="267"/>
      <c r="S272" s="264"/>
      <c r="T272" s="267"/>
      <c r="W272" s="264"/>
      <c r="X272" s="267"/>
    </row>
    <row r="273" spans="1:24">
      <c r="A273" s="265"/>
      <c r="B273" s="265"/>
      <c r="D273" s="264"/>
      <c r="H273" s="267"/>
      <c r="K273" s="264"/>
      <c r="L273" s="267"/>
      <c r="O273" s="264"/>
      <c r="P273" s="267"/>
      <c r="S273" s="264"/>
      <c r="T273" s="267"/>
      <c r="W273" s="264"/>
      <c r="X273" s="267"/>
    </row>
    <row r="274" spans="1:24">
      <c r="A274" s="265"/>
      <c r="B274" s="262"/>
      <c r="D274" s="264"/>
      <c r="H274" s="267"/>
      <c r="K274" s="264"/>
      <c r="L274" s="267"/>
      <c r="O274" s="264"/>
      <c r="P274" s="267"/>
      <c r="S274" s="264"/>
      <c r="T274" s="267"/>
      <c r="W274" s="264"/>
      <c r="X274" s="267"/>
    </row>
    <row r="275" spans="1:24">
      <c r="A275" s="265"/>
      <c r="B275" s="265"/>
      <c r="D275" s="264"/>
      <c r="H275" s="267"/>
      <c r="K275" s="264"/>
      <c r="L275" s="267"/>
      <c r="O275" s="264"/>
      <c r="P275" s="267"/>
      <c r="S275" s="264"/>
      <c r="T275" s="267"/>
      <c r="W275" s="264"/>
      <c r="X275" s="267"/>
    </row>
    <row r="276" spans="1:24">
      <c r="A276" s="265"/>
      <c r="B276" s="262"/>
      <c r="D276" s="264"/>
      <c r="H276" s="267"/>
      <c r="K276" s="264"/>
      <c r="L276" s="267"/>
      <c r="O276" s="264"/>
      <c r="P276" s="267"/>
      <c r="S276" s="264"/>
      <c r="T276" s="267"/>
      <c r="W276" s="264"/>
      <c r="X276" s="267"/>
    </row>
    <row r="277" spans="1:24">
      <c r="A277" s="265"/>
      <c r="B277" s="262"/>
      <c r="D277" s="264"/>
      <c r="H277" s="267"/>
      <c r="K277" s="264"/>
      <c r="L277" s="267"/>
      <c r="O277" s="264"/>
      <c r="P277" s="267"/>
      <c r="S277" s="264"/>
      <c r="T277" s="267"/>
      <c r="W277" s="264"/>
      <c r="X277" s="267"/>
    </row>
    <row r="278" spans="1:24">
      <c r="A278" s="265"/>
      <c r="B278" s="265"/>
      <c r="D278" s="264"/>
      <c r="H278" s="267"/>
      <c r="K278" s="264"/>
      <c r="L278" s="267"/>
      <c r="O278" s="264"/>
      <c r="P278" s="267"/>
      <c r="S278" s="264"/>
      <c r="T278" s="267"/>
      <c r="W278" s="264"/>
      <c r="X278" s="267"/>
    </row>
    <row r="279" spans="1:24">
      <c r="A279" s="265"/>
      <c r="B279" s="265"/>
      <c r="D279" s="264"/>
      <c r="H279" s="267"/>
      <c r="K279" s="264"/>
      <c r="L279" s="267"/>
      <c r="O279" s="264"/>
      <c r="P279" s="267"/>
      <c r="S279" s="264"/>
      <c r="T279" s="267"/>
      <c r="W279" s="264"/>
      <c r="X279" s="267"/>
    </row>
    <row r="280" spans="1:24">
      <c r="A280" s="265"/>
      <c r="B280" s="265"/>
      <c r="D280" s="264"/>
      <c r="H280" s="267"/>
      <c r="K280" s="264"/>
      <c r="L280" s="267"/>
      <c r="O280" s="264"/>
      <c r="P280" s="267"/>
      <c r="S280" s="264"/>
      <c r="T280" s="267"/>
      <c r="W280" s="264"/>
      <c r="X280" s="267"/>
    </row>
    <row r="281" spans="1:24">
      <c r="A281" s="265"/>
      <c r="B281" s="265"/>
      <c r="D281" s="264"/>
      <c r="H281" s="267"/>
      <c r="K281" s="264"/>
      <c r="L281" s="267"/>
      <c r="O281" s="264"/>
      <c r="P281" s="267"/>
      <c r="S281" s="264"/>
      <c r="T281" s="267"/>
      <c r="W281" s="264"/>
      <c r="X281" s="267"/>
    </row>
    <row r="282" spans="1:24">
      <c r="A282" s="265"/>
      <c r="B282" s="265"/>
      <c r="D282" s="264"/>
      <c r="H282" s="267"/>
      <c r="K282" s="264"/>
      <c r="L282" s="267"/>
      <c r="O282" s="264"/>
      <c r="P282" s="267"/>
      <c r="S282" s="264"/>
      <c r="T282" s="267"/>
      <c r="W282" s="264"/>
      <c r="X282" s="267"/>
    </row>
    <row r="283" spans="1:24">
      <c r="A283" s="265"/>
      <c r="B283" s="265"/>
      <c r="D283" s="264"/>
      <c r="H283" s="267"/>
      <c r="K283" s="264"/>
      <c r="L283" s="267"/>
      <c r="O283" s="264"/>
      <c r="P283" s="267"/>
      <c r="S283" s="264"/>
      <c r="T283" s="267"/>
      <c r="W283" s="264"/>
      <c r="X283" s="267"/>
    </row>
    <row r="284" spans="1:24">
      <c r="A284" s="265"/>
      <c r="B284" s="265"/>
      <c r="D284" s="264"/>
      <c r="H284" s="267"/>
      <c r="K284" s="264"/>
      <c r="L284" s="267"/>
      <c r="O284" s="264"/>
      <c r="P284" s="267"/>
      <c r="S284" s="264"/>
      <c r="T284" s="267"/>
      <c r="W284" s="264"/>
      <c r="X284" s="267"/>
    </row>
    <row r="285" spans="1:24">
      <c r="A285" s="265"/>
      <c r="B285" s="265"/>
      <c r="D285" s="264"/>
      <c r="H285" s="267"/>
      <c r="K285" s="264"/>
      <c r="L285" s="267"/>
      <c r="O285" s="264"/>
      <c r="P285" s="267"/>
      <c r="S285" s="264"/>
      <c r="T285" s="267"/>
      <c r="W285" s="264"/>
      <c r="X285" s="267"/>
    </row>
    <row r="286" spans="1:24">
      <c r="A286" s="265"/>
      <c r="B286" s="265"/>
      <c r="D286" s="264"/>
      <c r="H286" s="267"/>
      <c r="K286" s="264"/>
      <c r="L286" s="267"/>
      <c r="O286" s="264"/>
      <c r="P286" s="267"/>
      <c r="S286" s="264"/>
      <c r="T286" s="267"/>
      <c r="W286" s="264"/>
      <c r="X286" s="267"/>
    </row>
    <row r="287" spans="1:24">
      <c r="A287" s="265"/>
      <c r="B287" s="265"/>
      <c r="D287" s="264"/>
      <c r="H287" s="267"/>
      <c r="K287" s="264"/>
      <c r="L287" s="267"/>
      <c r="O287" s="264"/>
      <c r="P287" s="267"/>
      <c r="S287" s="264"/>
      <c r="T287" s="267"/>
      <c r="W287" s="264"/>
      <c r="X287" s="267"/>
    </row>
    <row r="288" spans="1:24">
      <c r="A288" s="265"/>
      <c r="B288" s="265"/>
      <c r="D288" s="264"/>
      <c r="H288" s="267"/>
      <c r="K288" s="264"/>
      <c r="L288" s="267"/>
      <c r="O288" s="264"/>
      <c r="P288" s="267"/>
      <c r="S288" s="264"/>
      <c r="T288" s="267"/>
      <c r="W288" s="264"/>
      <c r="X288" s="267"/>
    </row>
    <row r="289" spans="1:24">
      <c r="A289" s="265"/>
      <c r="B289" s="265"/>
      <c r="D289" s="264"/>
      <c r="H289" s="267"/>
      <c r="K289" s="264"/>
      <c r="L289" s="267"/>
      <c r="O289" s="264"/>
      <c r="P289" s="267"/>
      <c r="S289" s="264"/>
      <c r="T289" s="267"/>
      <c r="W289" s="264"/>
      <c r="X289" s="267"/>
    </row>
    <row r="290" spans="1:24">
      <c r="A290" s="265"/>
      <c r="B290" s="265"/>
      <c r="D290" s="264"/>
      <c r="H290" s="267"/>
      <c r="K290" s="264"/>
      <c r="L290" s="267"/>
      <c r="O290" s="264"/>
      <c r="P290" s="267"/>
      <c r="S290" s="264"/>
      <c r="T290" s="267"/>
      <c r="W290" s="264"/>
      <c r="X290" s="267"/>
    </row>
    <row r="291" spans="1:24">
      <c r="A291" s="265"/>
      <c r="B291" s="265"/>
      <c r="D291" s="264"/>
      <c r="H291" s="267"/>
      <c r="K291" s="264"/>
      <c r="L291" s="267"/>
      <c r="O291" s="264"/>
      <c r="P291" s="267"/>
      <c r="S291" s="264"/>
      <c r="T291" s="267"/>
      <c r="W291" s="264"/>
      <c r="X291" s="267"/>
    </row>
    <row r="292" spans="1:24">
      <c r="A292" s="265"/>
      <c r="B292" s="265"/>
      <c r="D292" s="264"/>
      <c r="H292" s="267"/>
      <c r="K292" s="264"/>
      <c r="L292" s="267"/>
      <c r="O292" s="264"/>
      <c r="P292" s="267"/>
      <c r="S292" s="264"/>
      <c r="T292" s="267"/>
      <c r="W292" s="264"/>
      <c r="X292" s="267"/>
    </row>
    <row r="293" spans="1:24">
      <c r="A293" s="265"/>
      <c r="B293" s="262"/>
      <c r="D293" s="264"/>
      <c r="H293" s="267"/>
      <c r="K293" s="264"/>
      <c r="L293" s="267"/>
      <c r="O293" s="264"/>
      <c r="P293" s="267"/>
      <c r="S293" s="264"/>
      <c r="T293" s="267"/>
      <c r="W293" s="264"/>
      <c r="X293" s="267"/>
    </row>
    <row r="294" spans="1:24">
      <c r="A294" s="265"/>
      <c r="B294" s="265"/>
      <c r="D294" s="264"/>
      <c r="H294" s="267"/>
      <c r="K294" s="264"/>
      <c r="L294" s="267"/>
      <c r="O294" s="264"/>
      <c r="P294" s="267"/>
      <c r="S294" s="264"/>
      <c r="T294" s="267"/>
      <c r="W294" s="264"/>
      <c r="X294" s="267"/>
    </row>
    <row r="295" spans="1:24">
      <c r="A295" s="265"/>
      <c r="B295" s="265"/>
      <c r="D295" s="264"/>
      <c r="H295" s="267"/>
      <c r="K295" s="264"/>
      <c r="L295" s="267"/>
      <c r="O295" s="264"/>
      <c r="P295" s="267"/>
      <c r="S295" s="264"/>
      <c r="T295" s="267"/>
      <c r="W295" s="264"/>
      <c r="X295" s="267"/>
    </row>
    <row r="296" spans="1:24">
      <c r="A296" s="265"/>
      <c r="B296" s="265"/>
      <c r="D296" s="264"/>
      <c r="H296" s="267"/>
      <c r="K296" s="264"/>
      <c r="L296" s="267"/>
      <c r="O296" s="264"/>
      <c r="P296" s="267"/>
      <c r="S296" s="264"/>
      <c r="T296" s="267"/>
      <c r="W296" s="264"/>
      <c r="X296" s="267"/>
    </row>
    <row r="297" spans="1:24">
      <c r="A297" s="265"/>
      <c r="B297" s="265"/>
      <c r="D297" s="264"/>
      <c r="H297" s="267"/>
      <c r="K297" s="264"/>
      <c r="L297" s="267"/>
      <c r="O297" s="264"/>
      <c r="P297" s="267"/>
      <c r="S297" s="264"/>
      <c r="T297" s="267"/>
      <c r="W297" s="264"/>
      <c r="X297" s="267"/>
    </row>
    <row r="298" spans="1:24">
      <c r="A298" s="265"/>
      <c r="B298" s="262"/>
      <c r="D298" s="264"/>
      <c r="H298" s="267"/>
      <c r="K298" s="264"/>
      <c r="L298" s="267"/>
      <c r="O298" s="264"/>
      <c r="P298" s="267"/>
      <c r="S298" s="264"/>
      <c r="T298" s="267"/>
      <c r="W298" s="264"/>
      <c r="X298" s="267"/>
    </row>
    <row r="299" spans="1:24">
      <c r="A299" s="265"/>
      <c r="B299" s="265"/>
      <c r="D299" s="264"/>
      <c r="H299" s="267"/>
      <c r="K299" s="264"/>
      <c r="L299" s="267"/>
      <c r="O299" s="264"/>
      <c r="P299" s="267"/>
      <c r="S299" s="264"/>
      <c r="T299" s="267"/>
      <c r="W299" s="264"/>
      <c r="X299" s="267"/>
    </row>
    <row r="300" spans="1:24">
      <c r="A300" s="265"/>
      <c r="B300" s="265"/>
      <c r="D300" s="264"/>
      <c r="H300" s="267"/>
      <c r="K300" s="264"/>
      <c r="L300" s="267"/>
      <c r="O300" s="264"/>
      <c r="P300" s="267"/>
      <c r="S300" s="264"/>
      <c r="T300" s="267"/>
      <c r="W300" s="264"/>
      <c r="X300" s="267"/>
    </row>
    <row r="301" spans="1:24">
      <c r="A301" s="265"/>
      <c r="B301" s="265"/>
      <c r="D301" s="264"/>
      <c r="H301" s="267"/>
      <c r="K301" s="264"/>
      <c r="L301" s="267"/>
      <c r="O301" s="264"/>
      <c r="P301" s="267"/>
      <c r="S301" s="264"/>
      <c r="T301" s="267"/>
      <c r="W301" s="264"/>
      <c r="X301" s="267"/>
    </row>
    <row r="302" spans="1:24">
      <c r="A302" s="265"/>
      <c r="B302" s="265"/>
      <c r="D302" s="264"/>
      <c r="H302" s="267"/>
      <c r="K302" s="264"/>
      <c r="L302" s="267"/>
      <c r="O302" s="264"/>
      <c r="P302" s="267"/>
      <c r="S302" s="264"/>
      <c r="T302" s="267"/>
      <c r="W302" s="264"/>
      <c r="X302" s="267"/>
    </row>
    <row r="303" spans="1:24">
      <c r="A303" s="265"/>
      <c r="B303" s="262"/>
      <c r="D303" s="264"/>
      <c r="H303" s="267"/>
      <c r="K303" s="264"/>
      <c r="L303" s="267"/>
      <c r="O303" s="264"/>
      <c r="P303" s="267"/>
      <c r="S303" s="264"/>
      <c r="T303" s="267"/>
      <c r="W303" s="264"/>
      <c r="X303" s="267"/>
    </row>
    <row r="304" spans="1:24">
      <c r="A304" s="265"/>
      <c r="B304" s="262"/>
      <c r="D304" s="264"/>
      <c r="H304" s="267"/>
      <c r="K304" s="264"/>
      <c r="L304" s="267"/>
      <c r="O304" s="264"/>
      <c r="P304" s="267"/>
      <c r="S304" s="264"/>
      <c r="T304" s="267"/>
      <c r="W304" s="264"/>
      <c r="X304" s="267"/>
    </row>
    <row r="305" spans="1:24">
      <c r="A305" s="265"/>
      <c r="B305" s="265"/>
      <c r="D305" s="264"/>
      <c r="H305" s="267"/>
      <c r="K305" s="264"/>
      <c r="L305" s="267"/>
      <c r="O305" s="264"/>
      <c r="P305" s="267"/>
      <c r="S305" s="264"/>
      <c r="T305" s="267"/>
      <c r="W305" s="264"/>
      <c r="X305" s="267"/>
    </row>
    <row r="306" spans="1:24">
      <c r="A306" s="265"/>
      <c r="B306" s="265"/>
      <c r="D306" s="264"/>
      <c r="H306" s="267"/>
      <c r="K306" s="264"/>
      <c r="L306" s="267"/>
      <c r="O306" s="264"/>
      <c r="P306" s="267"/>
      <c r="S306" s="264"/>
      <c r="T306" s="267"/>
      <c r="W306" s="264"/>
      <c r="X306" s="267"/>
    </row>
    <row r="307" spans="1:24">
      <c r="A307" s="265"/>
      <c r="B307" s="265"/>
      <c r="D307" s="264"/>
      <c r="H307" s="267"/>
      <c r="K307" s="264"/>
      <c r="L307" s="267"/>
      <c r="O307" s="264"/>
      <c r="P307" s="267"/>
      <c r="S307" s="264"/>
      <c r="T307" s="267"/>
      <c r="W307" s="264"/>
      <c r="X307" s="267"/>
    </row>
    <row r="308" spans="1:24">
      <c r="A308" s="265"/>
      <c r="B308" s="262"/>
      <c r="D308" s="264"/>
      <c r="H308" s="267"/>
      <c r="K308" s="264"/>
      <c r="L308" s="267"/>
      <c r="O308" s="264"/>
      <c r="P308" s="267"/>
      <c r="S308" s="264"/>
      <c r="T308" s="267"/>
      <c r="W308" s="264"/>
      <c r="X308" s="267"/>
    </row>
    <row r="309" spans="1:24">
      <c r="A309" s="265"/>
      <c r="B309" s="265"/>
      <c r="D309" s="264"/>
      <c r="H309" s="267"/>
      <c r="K309" s="264"/>
      <c r="L309" s="267"/>
      <c r="O309" s="264"/>
      <c r="P309" s="267"/>
      <c r="S309" s="264"/>
      <c r="T309" s="267"/>
      <c r="W309" s="264"/>
      <c r="X309" s="267"/>
    </row>
    <row r="310" spans="1:24">
      <c r="A310" s="265"/>
      <c r="B310" s="265"/>
      <c r="D310" s="264"/>
      <c r="H310" s="267"/>
      <c r="K310" s="264"/>
      <c r="L310" s="267"/>
      <c r="O310" s="264"/>
      <c r="P310" s="267"/>
      <c r="S310" s="264"/>
      <c r="T310" s="267"/>
      <c r="W310" s="264"/>
      <c r="X310" s="267"/>
    </row>
    <row r="311" spans="1:24">
      <c r="A311" s="265"/>
      <c r="B311" s="265"/>
      <c r="D311" s="264"/>
      <c r="H311" s="267"/>
      <c r="K311" s="264"/>
      <c r="L311" s="267"/>
      <c r="O311" s="264"/>
      <c r="P311" s="267"/>
      <c r="S311" s="264"/>
      <c r="T311" s="267"/>
      <c r="W311" s="264"/>
      <c r="X311" s="267"/>
    </row>
    <row r="312" spans="1:24">
      <c r="A312" s="265"/>
      <c r="B312" s="262"/>
      <c r="D312" s="264"/>
      <c r="H312" s="267"/>
      <c r="K312" s="264"/>
      <c r="L312" s="267"/>
      <c r="O312" s="264"/>
      <c r="P312" s="267"/>
      <c r="S312" s="264"/>
      <c r="T312" s="267"/>
      <c r="W312" s="264"/>
      <c r="X312" s="267"/>
    </row>
    <row r="313" spans="1:24">
      <c r="A313" s="265"/>
      <c r="B313" s="265"/>
      <c r="D313" s="264"/>
      <c r="H313" s="267"/>
      <c r="K313" s="264"/>
      <c r="L313" s="267"/>
      <c r="O313" s="264"/>
      <c r="P313" s="267"/>
      <c r="S313" s="264"/>
      <c r="T313" s="267"/>
      <c r="W313" s="264"/>
      <c r="X313" s="267"/>
    </row>
    <row r="314" spans="1:24">
      <c r="A314" s="265"/>
      <c r="B314" s="265"/>
      <c r="D314" s="264"/>
      <c r="H314" s="267"/>
      <c r="K314" s="264"/>
      <c r="L314" s="267"/>
      <c r="O314" s="264"/>
      <c r="P314" s="267"/>
      <c r="S314" s="264"/>
      <c r="T314" s="267"/>
      <c r="W314" s="264"/>
      <c r="X314" s="267"/>
    </row>
    <row r="315" spans="1:24">
      <c r="A315" s="265"/>
      <c r="B315" s="265"/>
      <c r="D315" s="264"/>
      <c r="H315" s="267"/>
      <c r="K315" s="264"/>
      <c r="L315" s="267"/>
      <c r="O315" s="264"/>
      <c r="P315" s="267"/>
      <c r="S315" s="264"/>
      <c r="T315" s="267"/>
      <c r="W315" s="264"/>
      <c r="X315" s="267"/>
    </row>
    <row r="316" spans="1:24">
      <c r="A316" s="265"/>
      <c r="B316" s="265"/>
      <c r="D316" s="264"/>
      <c r="H316" s="267"/>
      <c r="K316" s="264"/>
      <c r="L316" s="267"/>
      <c r="O316" s="264"/>
      <c r="P316" s="267"/>
      <c r="S316" s="264"/>
      <c r="T316" s="267"/>
      <c r="W316" s="264"/>
      <c r="X316" s="267"/>
    </row>
    <row r="317" spans="1:24">
      <c r="A317" s="265"/>
      <c r="B317" s="262"/>
      <c r="D317" s="264"/>
      <c r="H317" s="267"/>
      <c r="K317" s="264"/>
      <c r="L317" s="267"/>
      <c r="O317" s="264"/>
      <c r="P317" s="267"/>
      <c r="S317" s="264"/>
      <c r="T317" s="267"/>
      <c r="W317" s="264"/>
      <c r="X317" s="267"/>
    </row>
    <row r="318" spans="1:24">
      <c r="A318" s="265"/>
      <c r="B318" s="265"/>
      <c r="D318" s="264"/>
      <c r="H318" s="267"/>
      <c r="K318" s="264"/>
      <c r="L318" s="267"/>
      <c r="O318" s="264"/>
      <c r="P318" s="267"/>
      <c r="S318" s="264"/>
      <c r="T318" s="267"/>
      <c r="W318" s="264"/>
      <c r="X318" s="267"/>
    </row>
    <row r="319" spans="1:24">
      <c r="A319" s="265"/>
      <c r="B319" s="265"/>
      <c r="D319" s="264"/>
      <c r="H319" s="267"/>
      <c r="K319" s="264"/>
      <c r="L319" s="267"/>
      <c r="O319" s="264"/>
      <c r="P319" s="267"/>
      <c r="S319" s="264"/>
      <c r="T319" s="267"/>
      <c r="W319" s="264"/>
      <c r="X319" s="267"/>
    </row>
    <row r="320" spans="1:24">
      <c r="A320" s="262"/>
      <c r="B320" s="262"/>
      <c r="D320" s="264"/>
      <c r="H320" s="267"/>
      <c r="K320" s="264"/>
      <c r="L320" s="267"/>
      <c r="O320" s="264"/>
      <c r="P320" s="267"/>
      <c r="S320" s="264"/>
      <c r="T320" s="267"/>
      <c r="W320" s="264"/>
      <c r="X320" s="267"/>
    </row>
    <row r="321" spans="1:24">
      <c r="A321" s="265"/>
      <c r="B321" s="265"/>
      <c r="D321" s="264"/>
      <c r="H321" s="267"/>
      <c r="K321" s="264"/>
      <c r="L321" s="267"/>
      <c r="O321" s="264"/>
      <c r="P321" s="267"/>
      <c r="S321" s="264"/>
      <c r="T321" s="267"/>
      <c r="W321" s="264"/>
      <c r="X321" s="267"/>
    </row>
    <row r="322" spans="1:24">
      <c r="A322" s="265"/>
      <c r="B322" s="265"/>
      <c r="D322" s="264"/>
      <c r="H322" s="267"/>
      <c r="K322" s="264"/>
      <c r="L322" s="267"/>
      <c r="O322" s="264"/>
      <c r="P322" s="267"/>
      <c r="S322" s="264"/>
      <c r="T322" s="267"/>
      <c r="W322" s="264"/>
      <c r="X322" s="267"/>
    </row>
    <row r="323" spans="1:24">
      <c r="A323" s="265"/>
      <c r="B323" s="265"/>
      <c r="D323" s="264"/>
      <c r="H323" s="267"/>
      <c r="K323" s="264"/>
      <c r="L323" s="267"/>
      <c r="O323" s="264"/>
      <c r="P323" s="267"/>
      <c r="S323" s="264"/>
      <c r="T323" s="267"/>
      <c r="W323" s="264"/>
      <c r="X323" s="267"/>
    </row>
    <row r="324" spans="1:24">
      <c r="A324" s="265"/>
      <c r="B324" s="265"/>
      <c r="D324" s="264"/>
      <c r="H324" s="267"/>
      <c r="K324" s="264"/>
      <c r="L324" s="267"/>
      <c r="O324" s="264"/>
      <c r="P324" s="267"/>
      <c r="S324" s="264"/>
      <c r="T324" s="267"/>
      <c r="W324" s="264"/>
      <c r="X324" s="267"/>
    </row>
    <row r="325" spans="1:24">
      <c r="A325" s="262"/>
      <c r="B325" s="262"/>
      <c r="D325" s="264"/>
      <c r="H325" s="267"/>
      <c r="K325" s="264"/>
      <c r="L325" s="267"/>
      <c r="O325" s="264"/>
      <c r="P325" s="267"/>
      <c r="S325" s="264"/>
      <c r="T325" s="267"/>
      <c r="W325" s="264"/>
      <c r="X325" s="267"/>
    </row>
    <row r="326" spans="1:24">
      <c r="A326" s="265"/>
      <c r="B326" s="265"/>
      <c r="D326" s="264"/>
      <c r="H326" s="267"/>
      <c r="K326" s="264"/>
      <c r="L326" s="267"/>
      <c r="O326" s="264"/>
      <c r="P326" s="267"/>
      <c r="S326" s="264"/>
      <c r="T326" s="267"/>
      <c r="W326" s="264"/>
      <c r="X326" s="267"/>
    </row>
    <row r="327" spans="1:24">
      <c r="A327" s="265"/>
      <c r="B327" s="265"/>
      <c r="D327" s="264"/>
      <c r="H327" s="267"/>
      <c r="K327" s="264"/>
      <c r="L327" s="267"/>
      <c r="O327" s="264"/>
      <c r="P327" s="267"/>
      <c r="S327" s="264"/>
      <c r="T327" s="267"/>
      <c r="W327" s="264"/>
      <c r="X327" s="267"/>
    </row>
    <row r="328" spans="1:24">
      <c r="A328" s="265"/>
      <c r="B328" s="262"/>
      <c r="D328" s="264"/>
      <c r="H328" s="267"/>
      <c r="K328" s="264"/>
      <c r="L328" s="267"/>
      <c r="O328" s="264"/>
      <c r="P328" s="267"/>
      <c r="S328" s="264"/>
      <c r="T328" s="267"/>
      <c r="W328" s="264"/>
      <c r="X328" s="267"/>
    </row>
    <row r="329" spans="1:24">
      <c r="A329" s="265"/>
      <c r="B329" s="265"/>
      <c r="D329" s="264"/>
      <c r="H329" s="267"/>
      <c r="K329" s="264"/>
      <c r="L329" s="267"/>
      <c r="O329" s="264"/>
      <c r="P329" s="267"/>
      <c r="S329" s="264"/>
      <c r="T329" s="267"/>
      <c r="W329" s="264"/>
      <c r="X329" s="267"/>
    </row>
    <row r="330" spans="1:24">
      <c r="A330" s="265"/>
      <c r="B330" s="262"/>
      <c r="D330" s="264"/>
      <c r="H330" s="267"/>
      <c r="K330" s="264"/>
      <c r="L330" s="267"/>
      <c r="O330" s="264"/>
      <c r="P330" s="267"/>
      <c r="S330" s="264"/>
      <c r="T330" s="267"/>
      <c r="W330" s="264"/>
      <c r="X330" s="267"/>
    </row>
    <row r="331" spans="1:24">
      <c r="A331" s="265"/>
      <c r="B331" s="265"/>
      <c r="D331" s="264"/>
      <c r="H331" s="267"/>
      <c r="K331" s="264"/>
      <c r="L331" s="267"/>
      <c r="O331" s="264"/>
      <c r="P331" s="267"/>
      <c r="S331" s="264"/>
      <c r="T331" s="267"/>
      <c r="W331" s="264"/>
      <c r="X331" s="267"/>
    </row>
    <row r="332" spans="1:24">
      <c r="A332" s="262"/>
      <c r="B332" s="262"/>
      <c r="D332" s="264"/>
      <c r="H332" s="267"/>
      <c r="K332" s="264"/>
      <c r="L332" s="267"/>
      <c r="O332" s="264"/>
      <c r="P332" s="267"/>
      <c r="S332" s="264"/>
      <c r="T332" s="267"/>
      <c r="W332" s="264"/>
      <c r="X332" s="267"/>
    </row>
    <row r="333" spans="1:24">
      <c r="A333" s="265"/>
      <c r="B333" s="265"/>
      <c r="D333" s="264"/>
      <c r="H333" s="267"/>
      <c r="K333" s="264"/>
      <c r="L333" s="267"/>
      <c r="O333" s="264"/>
      <c r="P333" s="267"/>
      <c r="S333" s="264"/>
      <c r="T333" s="267"/>
      <c r="W333" s="264"/>
      <c r="X333" s="267"/>
    </row>
    <row r="334" spans="1:24">
      <c r="A334" s="265"/>
      <c r="B334" s="265"/>
      <c r="D334" s="264"/>
      <c r="H334" s="267"/>
      <c r="K334" s="264"/>
      <c r="L334" s="267"/>
      <c r="O334" s="264"/>
      <c r="P334" s="267"/>
      <c r="S334" s="264"/>
      <c r="T334" s="267"/>
      <c r="W334" s="264"/>
      <c r="X334" s="267"/>
    </row>
    <row r="335" spans="1:24">
      <c r="A335" s="265"/>
      <c r="B335" s="262"/>
      <c r="D335" s="264"/>
      <c r="H335" s="267"/>
      <c r="K335" s="264"/>
      <c r="L335" s="267"/>
      <c r="O335" s="264"/>
      <c r="P335" s="267"/>
      <c r="S335" s="264"/>
      <c r="T335" s="267"/>
      <c r="W335" s="264"/>
      <c r="X335" s="267"/>
    </row>
    <row r="336" spans="1:24">
      <c r="A336" s="265"/>
      <c r="B336" s="265"/>
      <c r="D336" s="264"/>
      <c r="H336" s="267"/>
      <c r="K336" s="264"/>
      <c r="L336" s="267"/>
      <c r="O336" s="264"/>
      <c r="P336" s="267"/>
      <c r="S336" s="264"/>
      <c r="T336" s="267"/>
      <c r="W336" s="264"/>
      <c r="X336" s="267"/>
    </row>
    <row r="337" spans="1:24">
      <c r="A337" s="265"/>
      <c r="B337" s="265"/>
      <c r="D337" s="264"/>
      <c r="H337" s="267"/>
      <c r="K337" s="264"/>
      <c r="L337" s="267"/>
      <c r="O337" s="264"/>
      <c r="P337" s="267"/>
      <c r="S337" s="264"/>
      <c r="T337" s="267"/>
      <c r="W337" s="264"/>
      <c r="X337" s="267"/>
    </row>
    <row r="338" spans="1:24">
      <c r="A338" s="265"/>
      <c r="B338" s="262"/>
      <c r="D338" s="264"/>
      <c r="H338" s="267"/>
      <c r="K338" s="264"/>
      <c r="L338" s="267"/>
      <c r="O338" s="264"/>
      <c r="P338" s="267"/>
      <c r="S338" s="264"/>
      <c r="T338" s="267"/>
      <c r="W338" s="264"/>
      <c r="X338" s="267"/>
    </row>
    <row r="339" spans="1:24">
      <c r="A339" s="265"/>
      <c r="B339" s="265"/>
      <c r="D339" s="264"/>
      <c r="H339" s="267"/>
      <c r="K339" s="264"/>
      <c r="L339" s="267"/>
      <c r="O339" s="264"/>
      <c r="P339" s="267"/>
      <c r="S339" s="264"/>
      <c r="T339" s="267"/>
      <c r="W339" s="264"/>
      <c r="X339" s="267"/>
    </row>
    <row r="340" spans="1:24">
      <c r="A340" s="265"/>
      <c r="B340" s="262"/>
      <c r="D340" s="264"/>
      <c r="H340" s="267"/>
      <c r="K340" s="264"/>
      <c r="L340" s="267"/>
      <c r="O340" s="264"/>
      <c r="P340" s="267"/>
      <c r="S340" s="264"/>
      <c r="T340" s="267"/>
      <c r="W340" s="264"/>
      <c r="X340" s="267"/>
    </row>
    <row r="341" spans="1:24">
      <c r="A341" s="265"/>
      <c r="B341" s="265"/>
      <c r="D341" s="264"/>
      <c r="H341" s="267"/>
      <c r="K341" s="264"/>
      <c r="L341" s="267"/>
      <c r="O341" s="264"/>
      <c r="P341" s="267"/>
      <c r="S341" s="264"/>
      <c r="T341" s="267"/>
      <c r="W341" s="264"/>
      <c r="X341" s="267"/>
    </row>
    <row r="342" spans="1:24">
      <c r="A342" s="265"/>
      <c r="B342" s="265"/>
      <c r="D342" s="264"/>
      <c r="H342" s="267"/>
      <c r="K342" s="264"/>
      <c r="L342" s="267"/>
      <c r="O342" s="264"/>
      <c r="P342" s="267"/>
      <c r="S342" s="264"/>
      <c r="T342" s="267"/>
      <c r="W342" s="264"/>
      <c r="X342" s="267"/>
    </row>
    <row r="343" spans="1:24">
      <c r="A343" s="265"/>
      <c r="B343" s="262"/>
      <c r="D343" s="264"/>
      <c r="H343" s="267"/>
      <c r="K343" s="264"/>
      <c r="L343" s="267"/>
      <c r="O343" s="264"/>
      <c r="P343" s="267"/>
      <c r="S343" s="264"/>
      <c r="T343" s="267"/>
      <c r="W343" s="264"/>
      <c r="X343" s="267"/>
    </row>
    <row r="344" spans="1:24">
      <c r="A344" s="265"/>
      <c r="B344" s="265"/>
      <c r="D344" s="264"/>
      <c r="H344" s="267"/>
      <c r="K344" s="264"/>
      <c r="L344" s="267"/>
      <c r="O344" s="264"/>
      <c r="P344" s="267"/>
      <c r="S344" s="264"/>
      <c r="T344" s="267"/>
      <c r="W344" s="264"/>
      <c r="X344" s="267"/>
    </row>
    <row r="345" spans="1:24">
      <c r="A345" s="265"/>
      <c r="B345" s="265"/>
      <c r="D345" s="264"/>
      <c r="H345" s="267"/>
      <c r="K345" s="264"/>
      <c r="L345" s="267"/>
      <c r="O345" s="264"/>
      <c r="P345" s="267"/>
      <c r="S345" s="264"/>
      <c r="T345" s="267"/>
      <c r="W345" s="264"/>
      <c r="X345" s="267"/>
    </row>
    <row r="346" spans="1:24">
      <c r="A346" s="265"/>
      <c r="B346" s="262"/>
      <c r="D346" s="264"/>
      <c r="H346" s="267"/>
      <c r="K346" s="264"/>
      <c r="L346" s="267"/>
      <c r="O346" s="264"/>
      <c r="P346" s="267"/>
      <c r="S346" s="264"/>
      <c r="T346" s="267"/>
      <c r="W346" s="264"/>
      <c r="X346" s="267"/>
    </row>
    <row r="347" spans="1:24">
      <c r="A347" s="265"/>
      <c r="B347" s="265"/>
      <c r="D347" s="264"/>
      <c r="H347" s="267"/>
      <c r="K347" s="264"/>
      <c r="L347" s="267"/>
      <c r="O347" s="264"/>
      <c r="P347" s="267"/>
      <c r="S347" s="264"/>
      <c r="T347" s="267"/>
      <c r="W347" s="264"/>
      <c r="X347" s="267"/>
    </row>
    <row r="348" spans="1:24">
      <c r="A348" s="265"/>
      <c r="B348" s="265"/>
      <c r="D348" s="264"/>
      <c r="H348" s="267"/>
      <c r="K348" s="264"/>
      <c r="L348" s="267"/>
      <c r="O348" s="264"/>
      <c r="P348" s="267"/>
      <c r="S348" s="264"/>
      <c r="T348" s="267"/>
      <c r="W348" s="264"/>
      <c r="X348" s="267"/>
    </row>
    <row r="349" spans="1:24">
      <c r="A349" s="265"/>
      <c r="B349" s="265"/>
      <c r="D349" s="264"/>
      <c r="H349" s="267"/>
      <c r="K349" s="264"/>
      <c r="L349" s="267"/>
      <c r="O349" s="264"/>
      <c r="P349" s="267"/>
      <c r="S349" s="264"/>
      <c r="T349" s="267"/>
      <c r="W349" s="264"/>
      <c r="X349" s="267"/>
    </row>
    <row r="350" spans="1:24">
      <c r="A350" s="265"/>
      <c r="B350" s="265"/>
      <c r="D350" s="264"/>
      <c r="H350" s="267"/>
      <c r="K350" s="264"/>
      <c r="L350" s="267"/>
      <c r="O350" s="264"/>
      <c r="P350" s="267"/>
      <c r="S350" s="264"/>
      <c r="T350" s="267"/>
      <c r="W350" s="264"/>
      <c r="X350" s="267"/>
    </row>
    <row r="351" spans="1:24">
      <c r="A351" s="265"/>
      <c r="B351" s="265"/>
      <c r="D351" s="264"/>
      <c r="H351" s="267"/>
      <c r="K351" s="264"/>
      <c r="L351" s="267"/>
      <c r="O351" s="264"/>
      <c r="P351" s="267"/>
      <c r="S351" s="264"/>
      <c r="T351" s="267"/>
      <c r="W351" s="264"/>
      <c r="X351" s="267"/>
    </row>
    <row r="352" spans="1:24">
      <c r="A352" s="265"/>
      <c r="B352" s="265"/>
      <c r="D352" s="264"/>
      <c r="H352" s="267"/>
      <c r="K352" s="264"/>
      <c r="L352" s="267"/>
      <c r="O352" s="264"/>
      <c r="P352" s="267"/>
      <c r="S352" s="264"/>
      <c r="T352" s="267"/>
      <c r="W352" s="264"/>
      <c r="X352" s="267"/>
    </row>
    <row r="353" spans="1:24">
      <c r="A353" s="265"/>
      <c r="B353" s="265"/>
      <c r="D353" s="264"/>
      <c r="H353" s="267"/>
      <c r="K353" s="264"/>
      <c r="L353" s="267"/>
      <c r="O353" s="264"/>
      <c r="P353" s="267"/>
      <c r="S353" s="264"/>
      <c r="T353" s="267"/>
      <c r="W353" s="264"/>
      <c r="X353" s="267"/>
    </row>
    <row r="354" spans="1:24">
      <c r="A354" s="265"/>
      <c r="B354" s="265"/>
      <c r="D354" s="264"/>
      <c r="H354" s="267"/>
      <c r="K354" s="264"/>
      <c r="L354" s="267"/>
      <c r="O354" s="264"/>
      <c r="P354" s="267"/>
      <c r="S354" s="264"/>
      <c r="T354" s="267"/>
      <c r="W354" s="264"/>
      <c r="X354" s="267"/>
    </row>
    <row r="355" spans="1:24">
      <c r="A355" s="265"/>
      <c r="B355" s="265"/>
      <c r="D355" s="264"/>
      <c r="H355" s="267"/>
      <c r="K355" s="264"/>
      <c r="L355" s="267"/>
      <c r="O355" s="264"/>
      <c r="P355" s="267"/>
      <c r="S355" s="264"/>
      <c r="T355" s="267"/>
      <c r="W355" s="264"/>
      <c r="X355" s="267"/>
    </row>
    <row r="356" spans="1:24">
      <c r="A356" s="265"/>
      <c r="B356" s="265"/>
      <c r="D356" s="264"/>
      <c r="H356" s="267"/>
      <c r="K356" s="264"/>
      <c r="L356" s="267"/>
      <c r="O356" s="264"/>
      <c r="P356" s="267"/>
      <c r="S356" s="264"/>
      <c r="T356" s="267"/>
      <c r="W356" s="264"/>
      <c r="X356" s="267"/>
    </row>
    <row r="357" spans="1:24">
      <c r="A357" s="262"/>
      <c r="B357" s="262"/>
      <c r="D357" s="264"/>
      <c r="H357" s="267"/>
      <c r="K357" s="264"/>
      <c r="L357" s="267"/>
      <c r="O357" s="264"/>
      <c r="P357" s="267"/>
      <c r="S357" s="264"/>
      <c r="T357" s="267"/>
      <c r="W357" s="264"/>
      <c r="X357" s="267"/>
    </row>
    <row r="358" spans="1:24">
      <c r="A358" s="265"/>
      <c r="B358" s="262"/>
      <c r="D358" s="264"/>
      <c r="H358" s="267"/>
      <c r="K358" s="264"/>
      <c r="L358" s="267"/>
      <c r="O358" s="264"/>
      <c r="P358" s="267"/>
      <c r="S358" s="264"/>
      <c r="T358" s="267"/>
      <c r="W358" s="264"/>
      <c r="X358" s="267"/>
    </row>
    <row r="359" spans="1:24">
      <c r="A359" s="265"/>
      <c r="B359" s="262"/>
      <c r="D359" s="264"/>
      <c r="H359" s="267"/>
      <c r="K359" s="264"/>
      <c r="L359" s="267"/>
      <c r="O359" s="264"/>
      <c r="P359" s="267"/>
      <c r="S359" s="264"/>
      <c r="T359" s="267"/>
      <c r="W359" s="264"/>
      <c r="X359" s="267"/>
    </row>
    <row r="360" spans="1:24">
      <c r="A360" s="265"/>
      <c r="B360" s="265"/>
      <c r="D360" s="264"/>
      <c r="H360" s="267"/>
      <c r="K360" s="264"/>
      <c r="L360" s="267"/>
      <c r="O360" s="264"/>
      <c r="P360" s="267"/>
      <c r="S360" s="264"/>
      <c r="T360" s="267"/>
      <c r="W360" s="264"/>
      <c r="X360" s="267"/>
    </row>
    <row r="361" spans="1:24">
      <c r="A361" s="265"/>
      <c r="B361" s="262"/>
      <c r="D361" s="264"/>
      <c r="H361" s="267"/>
      <c r="K361" s="264"/>
      <c r="L361" s="267"/>
      <c r="O361" s="264"/>
      <c r="P361" s="267"/>
      <c r="S361" s="264"/>
      <c r="T361" s="267"/>
      <c r="W361" s="264"/>
      <c r="X361" s="267"/>
    </row>
    <row r="362" spans="1:24">
      <c r="A362" s="265"/>
      <c r="B362" s="265"/>
      <c r="D362" s="264"/>
      <c r="H362" s="267"/>
      <c r="K362" s="264"/>
      <c r="L362" s="267"/>
      <c r="O362" s="264"/>
      <c r="P362" s="267"/>
      <c r="S362" s="264"/>
      <c r="T362" s="267"/>
      <c r="W362" s="264"/>
      <c r="X362" s="267"/>
    </row>
    <row r="363" spans="1:24">
      <c r="A363" s="265"/>
      <c r="B363" s="265"/>
      <c r="D363" s="264"/>
      <c r="H363" s="267"/>
      <c r="K363" s="264"/>
      <c r="L363" s="267"/>
      <c r="O363" s="264"/>
      <c r="P363" s="267"/>
      <c r="S363" s="264"/>
      <c r="T363" s="267"/>
      <c r="W363" s="264"/>
      <c r="X363" s="267"/>
    </row>
    <row r="364" spans="1:24">
      <c r="A364" s="265"/>
      <c r="B364" s="262"/>
      <c r="D364" s="264"/>
      <c r="H364" s="267"/>
      <c r="K364" s="264"/>
      <c r="L364" s="267"/>
      <c r="O364" s="264"/>
      <c r="P364" s="267"/>
      <c r="S364" s="264"/>
      <c r="T364" s="267"/>
      <c r="W364" s="264"/>
      <c r="X364" s="267"/>
    </row>
    <row r="365" spans="1:24">
      <c r="A365" s="265"/>
      <c r="B365" s="265"/>
      <c r="D365" s="264"/>
      <c r="H365" s="267"/>
      <c r="K365" s="264"/>
      <c r="L365" s="267"/>
      <c r="O365" s="264"/>
      <c r="P365" s="267"/>
      <c r="S365" s="264"/>
      <c r="T365" s="267"/>
      <c r="W365" s="264"/>
      <c r="X365" s="267"/>
    </row>
    <row r="366" spans="1:24">
      <c r="A366" s="265"/>
      <c r="B366" s="265"/>
      <c r="D366" s="264"/>
      <c r="H366" s="267"/>
      <c r="K366" s="264"/>
      <c r="L366" s="267"/>
      <c r="O366" s="264"/>
      <c r="P366" s="267"/>
      <c r="S366" s="264"/>
      <c r="T366" s="267"/>
      <c r="W366" s="264"/>
      <c r="X366" s="267"/>
    </row>
    <row r="367" spans="1:24">
      <c r="A367" s="265"/>
      <c r="B367" s="265"/>
      <c r="D367" s="264"/>
      <c r="H367" s="267"/>
      <c r="K367" s="264"/>
      <c r="L367" s="267"/>
      <c r="O367" s="264"/>
      <c r="P367" s="267"/>
      <c r="S367" s="264"/>
      <c r="T367" s="267"/>
      <c r="W367" s="264"/>
      <c r="X367" s="267"/>
    </row>
    <row r="368" spans="1:24">
      <c r="A368" s="262"/>
      <c r="B368" s="262"/>
      <c r="D368" s="264"/>
      <c r="H368" s="267"/>
      <c r="K368" s="264"/>
      <c r="L368" s="267"/>
      <c r="O368" s="264"/>
      <c r="P368" s="267"/>
      <c r="S368" s="264"/>
      <c r="T368" s="267"/>
      <c r="W368" s="264"/>
      <c r="X368" s="267"/>
    </row>
    <row r="369" spans="1:24">
      <c r="A369" s="265"/>
      <c r="B369" s="265"/>
      <c r="D369" s="264"/>
      <c r="H369" s="267"/>
      <c r="K369" s="264"/>
      <c r="L369" s="267"/>
      <c r="O369" s="264"/>
      <c r="P369" s="267"/>
      <c r="S369" s="264"/>
      <c r="T369" s="267"/>
      <c r="W369" s="264"/>
      <c r="X369" s="267"/>
    </row>
    <row r="370" spans="1:24">
      <c r="A370" s="265"/>
      <c r="B370" s="265"/>
      <c r="D370" s="264"/>
      <c r="H370" s="267"/>
      <c r="K370" s="264"/>
      <c r="L370" s="267"/>
      <c r="O370" s="264"/>
      <c r="P370" s="267"/>
      <c r="S370" s="264"/>
      <c r="T370" s="267"/>
      <c r="W370" s="264"/>
      <c r="X370" s="267"/>
    </row>
    <row r="371" spans="1:24">
      <c r="A371" s="265"/>
      <c r="B371" s="262"/>
      <c r="D371" s="264"/>
      <c r="H371" s="267"/>
      <c r="K371" s="264"/>
      <c r="L371" s="267"/>
      <c r="O371" s="264"/>
      <c r="P371" s="267"/>
      <c r="S371" s="264"/>
      <c r="T371" s="267"/>
      <c r="W371" s="264"/>
      <c r="X371" s="267"/>
    </row>
    <row r="372" spans="1:24">
      <c r="A372" s="265"/>
      <c r="B372" s="265"/>
      <c r="D372" s="264"/>
      <c r="H372" s="267"/>
      <c r="K372" s="264"/>
      <c r="L372" s="267"/>
      <c r="O372" s="264"/>
      <c r="P372" s="267"/>
      <c r="S372" s="264"/>
      <c r="T372" s="267"/>
      <c r="W372" s="264"/>
      <c r="X372" s="267"/>
    </row>
    <row r="373" spans="1:24">
      <c r="A373" s="265"/>
      <c r="B373" s="265"/>
      <c r="D373" s="264"/>
      <c r="H373" s="267"/>
      <c r="K373" s="264"/>
      <c r="L373" s="267"/>
      <c r="O373" s="264"/>
      <c r="P373" s="267"/>
      <c r="S373" s="264"/>
      <c r="T373" s="267"/>
      <c r="W373" s="264"/>
      <c r="X373" s="267"/>
    </row>
    <row r="374" spans="1:24">
      <c r="A374" s="265"/>
      <c r="B374" s="265"/>
      <c r="D374" s="264"/>
      <c r="H374" s="267"/>
      <c r="K374" s="264"/>
      <c r="L374" s="267"/>
      <c r="O374" s="264"/>
      <c r="P374" s="267"/>
      <c r="S374" s="264"/>
      <c r="T374" s="267"/>
      <c r="W374" s="264"/>
      <c r="X374" s="267"/>
    </row>
    <row r="375" spans="1:24">
      <c r="A375" s="265"/>
      <c r="B375" s="265"/>
      <c r="D375" s="264"/>
      <c r="H375" s="267"/>
      <c r="K375" s="264"/>
      <c r="L375" s="267"/>
      <c r="O375" s="264"/>
      <c r="P375" s="267"/>
      <c r="S375" s="264"/>
      <c r="T375" s="267"/>
      <c r="W375" s="264"/>
      <c r="X375" s="267"/>
    </row>
    <row r="376" spans="1:24">
      <c r="A376" s="265"/>
      <c r="B376" s="262"/>
      <c r="D376" s="264"/>
      <c r="H376" s="267"/>
      <c r="K376" s="264"/>
      <c r="L376" s="267"/>
      <c r="O376" s="264"/>
      <c r="P376" s="267"/>
      <c r="S376" s="264"/>
      <c r="T376" s="267"/>
      <c r="W376" s="264"/>
      <c r="X376" s="267"/>
    </row>
    <row r="377" spans="1:24">
      <c r="A377" s="265"/>
      <c r="B377" s="265"/>
      <c r="D377" s="264"/>
      <c r="H377" s="267"/>
      <c r="K377" s="264"/>
      <c r="L377" s="267"/>
      <c r="O377" s="264"/>
      <c r="P377" s="267"/>
      <c r="S377" s="264"/>
      <c r="T377" s="267"/>
      <c r="W377" s="264"/>
      <c r="X377" s="267"/>
    </row>
    <row r="378" spans="1:24">
      <c r="A378" s="265"/>
      <c r="B378" s="265"/>
      <c r="D378" s="264"/>
      <c r="H378" s="267"/>
      <c r="K378" s="264"/>
      <c r="L378" s="267"/>
      <c r="O378" s="264"/>
      <c r="P378" s="267"/>
      <c r="S378" s="264"/>
      <c r="T378" s="267"/>
      <c r="W378" s="264"/>
      <c r="X378" s="267"/>
    </row>
    <row r="379" spans="1:24">
      <c r="A379" s="265"/>
      <c r="B379" s="265"/>
      <c r="D379" s="264"/>
      <c r="H379" s="267"/>
      <c r="K379" s="264"/>
      <c r="L379" s="267"/>
      <c r="O379" s="264"/>
      <c r="P379" s="267"/>
      <c r="S379" s="264"/>
      <c r="T379" s="267"/>
      <c r="W379" s="264"/>
      <c r="X379" s="267"/>
    </row>
    <row r="380" spans="1:24">
      <c r="A380" s="265"/>
      <c r="B380" s="265"/>
      <c r="D380" s="264"/>
      <c r="H380" s="267"/>
      <c r="K380" s="264"/>
      <c r="L380" s="267"/>
      <c r="O380" s="264"/>
      <c r="P380" s="267"/>
      <c r="S380" s="264"/>
      <c r="T380" s="267"/>
      <c r="W380" s="264"/>
      <c r="X380" s="267"/>
    </row>
    <row r="381" spans="1:24">
      <c r="A381" s="265"/>
      <c r="B381" s="265"/>
      <c r="D381" s="264"/>
      <c r="H381" s="267"/>
      <c r="K381" s="264"/>
      <c r="L381" s="267"/>
      <c r="O381" s="264"/>
      <c r="P381" s="267"/>
      <c r="S381" s="264"/>
      <c r="T381" s="267"/>
      <c r="W381" s="264"/>
      <c r="X381" s="267"/>
    </row>
    <row r="382" spans="1:24">
      <c r="A382" s="265"/>
      <c r="B382" s="265"/>
      <c r="D382" s="264"/>
      <c r="H382" s="267"/>
      <c r="K382" s="264"/>
      <c r="L382" s="267"/>
      <c r="O382" s="264"/>
      <c r="P382" s="267"/>
      <c r="S382" s="264"/>
      <c r="T382" s="267"/>
      <c r="W382" s="264"/>
      <c r="X382" s="267"/>
    </row>
    <row r="383" spans="1:24">
      <c r="A383" s="265"/>
      <c r="B383" s="265"/>
      <c r="D383" s="264"/>
      <c r="H383" s="267"/>
      <c r="K383" s="264"/>
      <c r="L383" s="267"/>
      <c r="O383" s="264"/>
      <c r="P383" s="267"/>
      <c r="S383" s="264"/>
      <c r="T383" s="267"/>
      <c r="W383" s="264"/>
      <c r="X383" s="267"/>
    </row>
    <row r="384" spans="1:24">
      <c r="A384" s="265"/>
      <c r="B384" s="265"/>
      <c r="D384" s="264"/>
      <c r="H384" s="267"/>
      <c r="K384" s="264"/>
      <c r="L384" s="267"/>
      <c r="O384" s="264"/>
      <c r="P384" s="267"/>
      <c r="S384" s="264"/>
      <c r="T384" s="267"/>
      <c r="W384" s="264"/>
      <c r="X384" s="267"/>
    </row>
    <row r="385" spans="1:24">
      <c r="A385" s="265"/>
      <c r="B385" s="265"/>
      <c r="D385" s="264"/>
      <c r="H385" s="267"/>
      <c r="K385" s="264"/>
      <c r="L385" s="267"/>
      <c r="O385" s="264"/>
      <c r="P385" s="267"/>
      <c r="S385" s="264"/>
      <c r="T385" s="267"/>
      <c r="W385" s="264"/>
      <c r="X385" s="267"/>
    </row>
    <row r="386" spans="1:24">
      <c r="A386" s="265"/>
      <c r="B386" s="265"/>
      <c r="D386" s="264"/>
      <c r="H386" s="267"/>
      <c r="K386" s="264"/>
      <c r="L386" s="267"/>
      <c r="O386" s="264"/>
      <c r="P386" s="267"/>
      <c r="S386" s="264"/>
      <c r="T386" s="267"/>
      <c r="W386" s="264"/>
      <c r="X386" s="267"/>
    </row>
    <row r="387" spans="1:24">
      <c r="A387" s="265"/>
      <c r="B387" s="265"/>
      <c r="D387" s="264"/>
      <c r="H387" s="267"/>
      <c r="K387" s="264"/>
      <c r="L387" s="267"/>
      <c r="O387" s="264"/>
      <c r="P387" s="267"/>
      <c r="S387" s="264"/>
      <c r="T387" s="267"/>
      <c r="W387" s="264"/>
      <c r="X387" s="267"/>
    </row>
    <row r="388" spans="1:24">
      <c r="A388" s="265"/>
      <c r="B388" s="265"/>
      <c r="D388" s="264"/>
      <c r="H388" s="267"/>
      <c r="K388" s="264"/>
      <c r="L388" s="267"/>
      <c r="O388" s="264"/>
      <c r="P388" s="267"/>
      <c r="S388" s="264"/>
      <c r="T388" s="267"/>
      <c r="W388" s="264"/>
      <c r="X388" s="267"/>
    </row>
    <row r="389" spans="1:24">
      <c r="A389" s="265"/>
      <c r="B389" s="265"/>
      <c r="D389" s="264"/>
      <c r="H389" s="267"/>
      <c r="K389" s="264"/>
      <c r="L389" s="267"/>
      <c r="O389" s="264"/>
      <c r="P389" s="267"/>
      <c r="S389" s="264"/>
      <c r="T389" s="267"/>
      <c r="W389" s="264"/>
      <c r="X389" s="267"/>
    </row>
    <row r="390" spans="1:24">
      <c r="A390" s="265"/>
      <c r="B390" s="265"/>
      <c r="D390" s="264"/>
      <c r="H390" s="267"/>
      <c r="K390" s="264"/>
      <c r="L390" s="267"/>
      <c r="O390" s="264"/>
      <c r="P390" s="267"/>
      <c r="S390" s="264"/>
      <c r="T390" s="267"/>
      <c r="W390" s="264"/>
      <c r="X390" s="267"/>
    </row>
    <row r="391" spans="1:24">
      <c r="A391" s="265"/>
      <c r="B391" s="265"/>
      <c r="D391" s="264"/>
      <c r="H391" s="267"/>
      <c r="K391" s="264"/>
      <c r="L391" s="267"/>
      <c r="O391" s="264"/>
      <c r="P391" s="267"/>
      <c r="S391" s="264"/>
      <c r="T391" s="267"/>
      <c r="W391" s="264"/>
      <c r="X391" s="267"/>
    </row>
    <row r="392" spans="1:24">
      <c r="A392" s="265"/>
      <c r="B392" s="265"/>
      <c r="D392" s="264"/>
      <c r="H392" s="267"/>
      <c r="K392" s="264"/>
      <c r="L392" s="267"/>
      <c r="O392" s="264"/>
      <c r="P392" s="267"/>
      <c r="S392" s="264"/>
      <c r="T392" s="267"/>
      <c r="W392" s="264"/>
      <c r="X392" s="267"/>
    </row>
    <row r="393" spans="1:24">
      <c r="A393" s="265"/>
      <c r="B393" s="265"/>
      <c r="D393" s="264"/>
      <c r="H393" s="267"/>
      <c r="K393" s="264"/>
      <c r="L393" s="267"/>
      <c r="O393" s="264"/>
      <c r="P393" s="267"/>
      <c r="S393" s="264"/>
      <c r="T393" s="267"/>
      <c r="W393" s="264"/>
      <c r="X393" s="267"/>
    </row>
    <row r="394" spans="1:24">
      <c r="A394" s="265"/>
      <c r="B394" s="265"/>
      <c r="D394" s="264"/>
      <c r="H394" s="267"/>
      <c r="K394" s="264"/>
      <c r="L394" s="267"/>
      <c r="O394" s="264"/>
      <c r="P394" s="267"/>
      <c r="S394" s="264"/>
      <c r="T394" s="267"/>
      <c r="W394" s="264"/>
      <c r="X394" s="267"/>
    </row>
    <row r="395" spans="1:24">
      <c r="A395" s="265"/>
      <c r="B395" s="265"/>
      <c r="D395" s="264"/>
      <c r="H395" s="267"/>
      <c r="K395" s="264"/>
      <c r="L395" s="267"/>
      <c r="O395" s="264"/>
      <c r="P395" s="267"/>
      <c r="S395" s="264"/>
      <c r="T395" s="267"/>
      <c r="W395" s="264"/>
      <c r="X395" s="267"/>
    </row>
    <row r="396" spans="1:24">
      <c r="A396" s="265"/>
      <c r="B396" s="265"/>
      <c r="D396" s="264"/>
      <c r="H396" s="267"/>
      <c r="K396" s="264"/>
      <c r="L396" s="267"/>
      <c r="O396" s="264"/>
      <c r="P396" s="267"/>
      <c r="S396" s="264"/>
      <c r="T396" s="267"/>
      <c r="W396" s="264"/>
      <c r="X396" s="267"/>
    </row>
    <row r="397" spans="1:24">
      <c r="A397" s="265"/>
      <c r="B397" s="265"/>
      <c r="D397" s="264"/>
      <c r="H397" s="267"/>
      <c r="K397" s="264"/>
      <c r="L397" s="267"/>
      <c r="O397" s="264"/>
      <c r="P397" s="267"/>
      <c r="S397" s="264"/>
      <c r="T397" s="267"/>
      <c r="W397" s="264"/>
      <c r="X397" s="267"/>
    </row>
    <row r="398" spans="1:24">
      <c r="A398" s="265"/>
      <c r="B398" s="265"/>
      <c r="D398" s="264"/>
      <c r="H398" s="267"/>
      <c r="K398" s="264"/>
      <c r="L398" s="267"/>
      <c r="O398" s="264"/>
      <c r="P398" s="267"/>
      <c r="S398" s="264"/>
      <c r="T398" s="267"/>
      <c r="W398" s="264"/>
      <c r="X398" s="267"/>
    </row>
    <row r="399" spans="1:24">
      <c r="A399" s="265"/>
      <c r="B399" s="265"/>
      <c r="D399" s="264"/>
      <c r="H399" s="267"/>
      <c r="K399" s="264"/>
      <c r="L399" s="267"/>
      <c r="O399" s="264"/>
      <c r="P399" s="267"/>
      <c r="S399" s="264"/>
      <c r="T399" s="267"/>
      <c r="W399" s="264"/>
      <c r="X399" s="267"/>
    </row>
    <row r="400" spans="1:24">
      <c r="A400" s="265"/>
      <c r="B400" s="262"/>
      <c r="D400" s="264"/>
      <c r="H400" s="267"/>
      <c r="K400" s="264"/>
      <c r="L400" s="267"/>
      <c r="O400" s="264"/>
      <c r="P400" s="267"/>
      <c r="S400" s="264"/>
      <c r="T400" s="267"/>
      <c r="W400" s="264"/>
      <c r="X400" s="267"/>
    </row>
    <row r="401" spans="1:24">
      <c r="A401" s="265"/>
      <c r="B401" s="265"/>
      <c r="D401" s="264"/>
      <c r="H401" s="267"/>
      <c r="K401" s="264"/>
      <c r="L401" s="267"/>
      <c r="O401" s="264"/>
      <c r="P401" s="267"/>
      <c r="S401" s="264"/>
      <c r="T401" s="267"/>
      <c r="W401" s="264"/>
      <c r="X401" s="267"/>
    </row>
    <row r="402" spans="1:24">
      <c r="A402" s="265"/>
      <c r="B402" s="265"/>
      <c r="D402" s="264"/>
      <c r="H402" s="267"/>
      <c r="K402" s="264"/>
      <c r="L402" s="267"/>
      <c r="O402" s="264"/>
      <c r="P402" s="267"/>
      <c r="S402" s="264"/>
      <c r="T402" s="267"/>
      <c r="W402" s="264"/>
      <c r="X402" s="267"/>
    </row>
    <row r="403" spans="1:24">
      <c r="A403" s="265"/>
      <c r="B403" s="265"/>
      <c r="D403" s="264"/>
      <c r="H403" s="267"/>
      <c r="K403" s="264"/>
      <c r="L403" s="267"/>
      <c r="O403" s="264"/>
      <c r="P403" s="267"/>
      <c r="S403" s="264"/>
      <c r="T403" s="267"/>
      <c r="W403" s="264"/>
      <c r="X403" s="267"/>
    </row>
    <row r="404" spans="1:24">
      <c r="A404" s="265"/>
      <c r="B404" s="262"/>
      <c r="D404" s="264"/>
      <c r="H404" s="267"/>
      <c r="K404" s="264"/>
      <c r="L404" s="267"/>
      <c r="O404" s="264"/>
      <c r="P404" s="267"/>
      <c r="S404" s="264"/>
      <c r="T404" s="267"/>
      <c r="W404" s="264"/>
      <c r="X404" s="267"/>
    </row>
    <row r="405" spans="1:24">
      <c r="A405" s="265"/>
      <c r="B405" s="262"/>
      <c r="D405" s="264"/>
      <c r="H405" s="267"/>
      <c r="K405" s="264"/>
      <c r="L405" s="267"/>
      <c r="O405" s="264"/>
      <c r="P405" s="267"/>
      <c r="S405" s="264"/>
      <c r="T405" s="267"/>
      <c r="W405" s="264"/>
      <c r="X405" s="267"/>
    </row>
    <row r="406" spans="1:24">
      <c r="A406" s="265"/>
      <c r="B406" s="265"/>
      <c r="D406" s="264"/>
      <c r="H406" s="267"/>
      <c r="K406" s="264"/>
      <c r="L406" s="267"/>
      <c r="O406" s="264"/>
      <c r="P406" s="267"/>
      <c r="S406" s="264"/>
      <c r="T406" s="267"/>
      <c r="W406" s="264"/>
      <c r="X406" s="267"/>
    </row>
    <row r="407" spans="1:24">
      <c r="A407" s="265"/>
      <c r="B407" s="265"/>
      <c r="D407" s="264"/>
      <c r="H407" s="267"/>
      <c r="K407" s="264"/>
      <c r="L407" s="267"/>
      <c r="O407" s="264"/>
      <c r="P407" s="267"/>
      <c r="S407" s="264"/>
      <c r="T407" s="267"/>
      <c r="W407" s="264"/>
      <c r="X407" s="267"/>
    </row>
    <row r="408" spans="1:24">
      <c r="A408" s="265"/>
      <c r="B408" s="265"/>
      <c r="D408" s="264"/>
      <c r="H408" s="267"/>
      <c r="K408" s="264"/>
      <c r="L408" s="267"/>
      <c r="O408" s="264"/>
      <c r="P408" s="267"/>
      <c r="S408" s="264"/>
      <c r="T408" s="267"/>
      <c r="W408" s="264"/>
      <c r="X408" s="267"/>
    </row>
    <row r="409" spans="1:24">
      <c r="A409" s="265"/>
      <c r="B409" s="265"/>
      <c r="D409" s="264"/>
      <c r="H409" s="267"/>
      <c r="K409" s="264"/>
      <c r="L409" s="267"/>
      <c r="O409" s="264"/>
      <c r="P409" s="267"/>
      <c r="S409" s="264"/>
      <c r="T409" s="267"/>
      <c r="W409" s="264"/>
      <c r="X409" s="267"/>
    </row>
    <row r="410" spans="1:24">
      <c r="A410" s="265"/>
      <c r="B410" s="265"/>
      <c r="D410" s="264"/>
      <c r="H410" s="267"/>
      <c r="K410" s="264"/>
      <c r="L410" s="267"/>
      <c r="O410" s="264"/>
      <c r="P410" s="267"/>
      <c r="S410" s="264"/>
      <c r="T410" s="267"/>
      <c r="W410" s="264"/>
      <c r="X410" s="267"/>
    </row>
    <row r="411" spans="1:24">
      <c r="A411" s="265"/>
      <c r="B411" s="265"/>
      <c r="D411" s="264"/>
      <c r="H411" s="267"/>
      <c r="K411" s="264"/>
      <c r="L411" s="267"/>
      <c r="O411" s="264"/>
      <c r="P411" s="267"/>
      <c r="S411" s="264"/>
      <c r="T411" s="267"/>
      <c r="W411" s="264"/>
      <c r="X411" s="267"/>
    </row>
    <row r="412" spans="1:24">
      <c r="A412" s="265"/>
      <c r="B412" s="262"/>
      <c r="D412" s="264"/>
      <c r="H412" s="267"/>
      <c r="K412" s="264"/>
      <c r="L412" s="267"/>
      <c r="O412" s="264"/>
      <c r="P412" s="267"/>
      <c r="S412" s="264"/>
      <c r="T412" s="267"/>
      <c r="W412" s="264"/>
      <c r="X412" s="267"/>
    </row>
    <row r="413" spans="1:24">
      <c r="A413" s="265"/>
      <c r="B413" s="262"/>
      <c r="D413" s="264"/>
      <c r="H413" s="267"/>
      <c r="K413" s="264"/>
      <c r="L413" s="267"/>
      <c r="O413" s="264"/>
      <c r="P413" s="267"/>
      <c r="S413" s="264"/>
      <c r="T413" s="267"/>
      <c r="W413" s="264"/>
      <c r="X413" s="267"/>
    </row>
    <row r="414" spans="1:24">
      <c r="A414" s="265"/>
      <c r="B414" s="262"/>
      <c r="D414" s="264"/>
      <c r="H414" s="267"/>
      <c r="K414" s="264"/>
      <c r="L414" s="267"/>
      <c r="O414" s="264"/>
      <c r="P414" s="267"/>
      <c r="S414" s="264"/>
      <c r="T414" s="267"/>
      <c r="W414" s="264"/>
      <c r="X414" s="267"/>
    </row>
    <row r="415" spans="1:24">
      <c r="A415" s="265"/>
      <c r="B415" s="262"/>
      <c r="D415" s="264"/>
      <c r="H415" s="267"/>
      <c r="K415" s="264"/>
      <c r="L415" s="267"/>
      <c r="O415" s="264"/>
      <c r="P415" s="267"/>
      <c r="S415" s="264"/>
      <c r="T415" s="267"/>
      <c r="W415" s="264"/>
      <c r="X415" s="267"/>
    </row>
    <row r="416" spans="1:24">
      <c r="A416" s="265"/>
      <c r="B416" s="262"/>
      <c r="D416" s="264"/>
      <c r="H416" s="267"/>
      <c r="K416" s="264"/>
      <c r="L416" s="267"/>
      <c r="O416" s="264"/>
      <c r="P416" s="267"/>
      <c r="S416" s="264"/>
      <c r="T416" s="267"/>
      <c r="W416" s="264"/>
      <c r="X416" s="267"/>
    </row>
    <row r="417" spans="1:24">
      <c r="A417" s="265"/>
      <c r="B417" s="265"/>
      <c r="D417" s="264"/>
      <c r="H417" s="267"/>
      <c r="K417" s="264"/>
      <c r="L417" s="267"/>
      <c r="O417" s="264"/>
      <c r="P417" s="267"/>
      <c r="S417" s="264"/>
      <c r="T417" s="267"/>
      <c r="W417" s="264"/>
      <c r="X417" s="267"/>
    </row>
    <row r="418" spans="1:24">
      <c r="A418" s="265"/>
      <c r="B418" s="262"/>
      <c r="D418" s="264"/>
      <c r="H418" s="267"/>
      <c r="K418" s="264"/>
      <c r="L418" s="267"/>
      <c r="O418" s="264"/>
      <c r="P418" s="267"/>
      <c r="S418" s="264"/>
      <c r="T418" s="267"/>
      <c r="W418" s="264"/>
      <c r="X418" s="267"/>
    </row>
    <row r="419" spans="1:24">
      <c r="A419" s="265"/>
      <c r="B419" s="265"/>
      <c r="D419" s="264"/>
      <c r="H419" s="267"/>
      <c r="K419" s="264"/>
      <c r="L419" s="267"/>
      <c r="O419" s="264"/>
      <c r="P419" s="267"/>
      <c r="S419" s="264"/>
      <c r="T419" s="267"/>
      <c r="W419" s="264"/>
      <c r="X419" s="267"/>
    </row>
    <row r="420" spans="1:24">
      <c r="A420" s="265"/>
      <c r="B420" s="265"/>
      <c r="D420" s="264"/>
      <c r="H420" s="267"/>
      <c r="K420" s="264"/>
      <c r="L420" s="267"/>
      <c r="O420" s="264"/>
      <c r="P420" s="267"/>
      <c r="S420" s="264"/>
      <c r="T420" s="267"/>
      <c r="W420" s="264"/>
      <c r="X420" s="267"/>
    </row>
    <row r="421" spans="1:24">
      <c r="A421" s="265"/>
      <c r="B421" s="265"/>
      <c r="D421" s="264"/>
      <c r="H421" s="267"/>
      <c r="K421" s="264"/>
      <c r="L421" s="267"/>
      <c r="O421" s="264"/>
      <c r="P421" s="267"/>
      <c r="S421" s="264"/>
      <c r="T421" s="267"/>
      <c r="W421" s="264"/>
      <c r="X421" s="267"/>
    </row>
    <row r="422" spans="1:24">
      <c r="A422" s="265"/>
      <c r="B422" s="262"/>
      <c r="D422" s="264"/>
      <c r="H422" s="267"/>
      <c r="K422" s="264"/>
      <c r="L422" s="267"/>
      <c r="O422" s="264"/>
      <c r="P422" s="267"/>
      <c r="S422" s="264"/>
      <c r="T422" s="267"/>
      <c r="W422" s="264"/>
      <c r="X422" s="267"/>
    </row>
    <row r="423" spans="1:24">
      <c r="A423" s="265"/>
      <c r="B423" s="265"/>
      <c r="D423" s="264"/>
      <c r="H423" s="267"/>
      <c r="K423" s="264"/>
      <c r="L423" s="267"/>
      <c r="O423" s="264"/>
      <c r="P423" s="267"/>
      <c r="S423" s="264"/>
      <c r="T423" s="267"/>
      <c r="W423" s="264"/>
      <c r="X423" s="267"/>
    </row>
    <row r="424" spans="1:24">
      <c r="A424" s="265"/>
      <c r="B424" s="265"/>
      <c r="D424" s="264"/>
      <c r="H424" s="267"/>
      <c r="K424" s="264"/>
      <c r="L424" s="267"/>
      <c r="O424" s="264"/>
      <c r="P424" s="267"/>
      <c r="S424" s="264"/>
      <c r="T424" s="267"/>
      <c r="W424" s="264"/>
      <c r="X424" s="267"/>
    </row>
    <row r="425" spans="1:24">
      <c r="A425" s="262"/>
      <c r="B425" s="262"/>
      <c r="D425" s="264"/>
      <c r="H425" s="267"/>
      <c r="K425" s="264"/>
      <c r="L425" s="267"/>
      <c r="O425" s="264"/>
      <c r="P425" s="267"/>
      <c r="S425" s="264"/>
      <c r="T425" s="267"/>
      <c r="W425" s="264"/>
      <c r="X425" s="267"/>
    </row>
    <row r="426" spans="1:24">
      <c r="A426" s="265"/>
      <c r="B426" s="265"/>
      <c r="D426" s="264"/>
      <c r="H426" s="267"/>
      <c r="K426" s="264"/>
      <c r="L426" s="267"/>
      <c r="O426" s="264"/>
      <c r="P426" s="267"/>
      <c r="S426" s="264"/>
      <c r="T426" s="267"/>
      <c r="W426" s="264"/>
      <c r="X426" s="267"/>
    </row>
    <row r="427" spans="1:24">
      <c r="A427" s="265"/>
      <c r="B427" s="265"/>
      <c r="D427" s="264"/>
      <c r="H427" s="267"/>
      <c r="K427" s="264"/>
      <c r="L427" s="267"/>
      <c r="O427" s="264"/>
      <c r="P427" s="267"/>
      <c r="S427" s="264"/>
      <c r="T427" s="267"/>
      <c r="W427" s="264"/>
      <c r="X427" s="267"/>
    </row>
    <row r="428" spans="1:24">
      <c r="A428" s="265"/>
      <c r="B428" s="265"/>
      <c r="D428" s="264"/>
      <c r="H428" s="267"/>
      <c r="K428" s="264"/>
      <c r="L428" s="267"/>
      <c r="O428" s="264"/>
      <c r="P428" s="267"/>
      <c r="S428" s="264"/>
      <c r="T428" s="267"/>
      <c r="W428" s="264"/>
      <c r="X428" s="267"/>
    </row>
    <row r="429" spans="1:24">
      <c r="A429" s="265"/>
      <c r="B429" s="265"/>
      <c r="D429" s="264"/>
      <c r="H429" s="267"/>
      <c r="K429" s="264"/>
      <c r="L429" s="267"/>
      <c r="O429" s="264"/>
      <c r="P429" s="267"/>
      <c r="S429" s="264"/>
      <c r="T429" s="267"/>
      <c r="W429" s="264"/>
      <c r="X429" s="267"/>
    </row>
    <row r="430" spans="1:24">
      <c r="A430" s="265"/>
      <c r="B430" s="265"/>
      <c r="D430" s="264"/>
      <c r="H430" s="267"/>
      <c r="K430" s="264"/>
      <c r="L430" s="267"/>
      <c r="O430" s="264"/>
      <c r="P430" s="267"/>
      <c r="S430" s="264"/>
      <c r="T430" s="267"/>
      <c r="W430" s="264"/>
      <c r="X430" s="267"/>
    </row>
    <row r="431" spans="1:24">
      <c r="A431" s="265"/>
      <c r="B431" s="265"/>
      <c r="D431" s="264"/>
      <c r="H431" s="267"/>
      <c r="K431" s="264"/>
      <c r="L431" s="267"/>
      <c r="O431" s="264"/>
      <c r="P431" s="267"/>
      <c r="S431" s="264"/>
      <c r="T431" s="267"/>
      <c r="W431" s="264"/>
      <c r="X431" s="267"/>
    </row>
    <row r="432" spans="1:24">
      <c r="A432" s="265"/>
      <c r="B432" s="262"/>
      <c r="D432" s="264"/>
      <c r="H432" s="267"/>
      <c r="K432" s="264"/>
      <c r="L432" s="267"/>
      <c r="O432" s="264"/>
      <c r="P432" s="267"/>
      <c r="S432" s="264"/>
      <c r="T432" s="267"/>
      <c r="W432" s="264"/>
      <c r="X432" s="267"/>
    </row>
    <row r="433" spans="1:24">
      <c r="A433" s="265"/>
      <c r="B433" s="262"/>
      <c r="D433" s="264"/>
      <c r="H433" s="267"/>
      <c r="K433" s="264"/>
      <c r="L433" s="267"/>
      <c r="O433" s="264"/>
      <c r="P433" s="267"/>
      <c r="S433" s="264"/>
      <c r="T433" s="267"/>
      <c r="W433" s="264"/>
      <c r="X433" s="267"/>
    </row>
    <row r="434" spans="1:24">
      <c r="A434" s="265"/>
      <c r="B434" s="265"/>
      <c r="D434" s="264"/>
      <c r="H434" s="267"/>
      <c r="K434" s="264"/>
      <c r="L434" s="267"/>
      <c r="O434" s="264"/>
      <c r="P434" s="267"/>
      <c r="S434" s="264"/>
      <c r="T434" s="267"/>
      <c r="W434" s="264"/>
      <c r="X434" s="267"/>
    </row>
    <row r="435" spans="1:24">
      <c r="A435" s="265"/>
      <c r="B435" s="265"/>
      <c r="D435" s="264"/>
      <c r="H435" s="267"/>
      <c r="K435" s="264"/>
      <c r="L435" s="267"/>
      <c r="O435" s="264"/>
      <c r="P435" s="267"/>
      <c r="S435" s="264"/>
      <c r="T435" s="267"/>
      <c r="W435" s="264"/>
      <c r="X435" s="267"/>
    </row>
    <row r="436" spans="1:24">
      <c r="A436" s="265"/>
      <c r="B436" s="262"/>
      <c r="D436" s="264"/>
      <c r="H436" s="267"/>
      <c r="K436" s="264"/>
      <c r="L436" s="267"/>
      <c r="O436" s="264"/>
      <c r="P436" s="267"/>
      <c r="S436" s="264"/>
      <c r="T436" s="267"/>
      <c r="W436" s="264"/>
      <c r="X436" s="267"/>
    </row>
    <row r="437" spans="1:24">
      <c r="A437" s="265"/>
      <c r="B437" s="265"/>
      <c r="D437" s="264"/>
      <c r="H437" s="267"/>
      <c r="K437" s="264"/>
      <c r="L437" s="267"/>
      <c r="O437" s="264"/>
      <c r="P437" s="267"/>
      <c r="S437" s="264"/>
      <c r="T437" s="267"/>
      <c r="W437" s="264"/>
      <c r="X437" s="267"/>
    </row>
    <row r="438" spans="1:24">
      <c r="A438" s="262"/>
      <c r="B438" s="265"/>
      <c r="D438" s="264"/>
      <c r="H438" s="267"/>
      <c r="K438" s="264"/>
      <c r="L438" s="267"/>
      <c r="O438" s="264"/>
      <c r="P438" s="267"/>
      <c r="S438" s="264"/>
      <c r="T438" s="267"/>
      <c r="W438" s="264"/>
      <c r="X438" s="267"/>
    </row>
    <row r="439" spans="1:24">
      <c r="A439" s="265"/>
      <c r="B439" s="262"/>
      <c r="D439" s="264"/>
      <c r="H439" s="267"/>
      <c r="K439" s="264"/>
      <c r="L439" s="267"/>
      <c r="O439" s="264"/>
      <c r="P439" s="267"/>
      <c r="S439" s="264"/>
      <c r="T439" s="267"/>
      <c r="W439" s="264"/>
      <c r="X439" s="267"/>
    </row>
    <row r="440" spans="1:24">
      <c r="A440" s="265"/>
      <c r="B440" s="265"/>
      <c r="D440" s="264"/>
      <c r="H440" s="267"/>
      <c r="K440" s="264"/>
      <c r="L440" s="267"/>
      <c r="O440" s="264"/>
      <c r="P440" s="267"/>
      <c r="S440" s="264"/>
      <c r="T440" s="267"/>
      <c r="W440" s="264"/>
      <c r="X440" s="267"/>
    </row>
    <row r="441" spans="1:24">
      <c r="A441" s="265"/>
      <c r="B441" s="265"/>
      <c r="D441" s="264"/>
      <c r="H441" s="267"/>
      <c r="K441" s="264"/>
      <c r="L441" s="267"/>
      <c r="O441" s="264"/>
      <c r="P441" s="267"/>
      <c r="S441" s="264"/>
      <c r="T441" s="267"/>
      <c r="W441" s="264"/>
      <c r="X441" s="267"/>
    </row>
    <row r="442" spans="1:24">
      <c r="A442" s="262"/>
      <c r="B442" s="262"/>
      <c r="D442" s="264"/>
      <c r="H442" s="267"/>
      <c r="K442" s="264"/>
      <c r="L442" s="267"/>
      <c r="O442" s="264"/>
      <c r="P442" s="267"/>
      <c r="S442" s="264"/>
      <c r="T442" s="267"/>
      <c r="W442" s="264"/>
      <c r="X442" s="267"/>
    </row>
    <row r="443" spans="1:24">
      <c r="A443" s="262"/>
      <c r="B443" s="265"/>
      <c r="D443" s="264"/>
      <c r="H443" s="267"/>
      <c r="K443" s="264"/>
      <c r="L443" s="267"/>
      <c r="O443" s="264"/>
      <c r="P443" s="267"/>
      <c r="S443" s="264"/>
      <c r="T443" s="267"/>
      <c r="W443" s="264"/>
      <c r="X443" s="267"/>
    </row>
    <row r="444" spans="1:24">
      <c r="A444" s="265"/>
      <c r="B444" s="265"/>
      <c r="D444" s="264"/>
      <c r="H444" s="267"/>
      <c r="K444" s="264"/>
      <c r="L444" s="267"/>
      <c r="O444" s="264"/>
      <c r="P444" s="267"/>
      <c r="S444" s="264"/>
      <c r="T444" s="267"/>
      <c r="W444" s="264"/>
      <c r="X444" s="267"/>
    </row>
    <row r="445" spans="1:24">
      <c r="A445" s="265"/>
      <c r="B445" s="262"/>
      <c r="D445" s="264"/>
      <c r="H445" s="267"/>
      <c r="K445" s="264"/>
      <c r="L445" s="267"/>
      <c r="O445" s="264"/>
      <c r="P445" s="267"/>
      <c r="S445" s="264"/>
      <c r="T445" s="267"/>
      <c r="W445" s="264"/>
      <c r="X445" s="267"/>
    </row>
    <row r="446" spans="1:24">
      <c r="A446" s="262"/>
      <c r="B446" s="265"/>
      <c r="D446" s="264"/>
      <c r="H446" s="267"/>
      <c r="K446" s="264"/>
      <c r="L446" s="267"/>
      <c r="O446" s="264"/>
      <c r="P446" s="267"/>
      <c r="S446" s="264"/>
      <c r="T446" s="267"/>
      <c r="W446" s="264"/>
      <c r="X446" s="267"/>
    </row>
    <row r="447" spans="1:24">
      <c r="A447" s="265"/>
      <c r="B447" s="262"/>
      <c r="D447" s="264"/>
      <c r="H447" s="267"/>
      <c r="K447" s="264"/>
      <c r="L447" s="267"/>
      <c r="O447" s="264"/>
      <c r="P447" s="267"/>
      <c r="S447" s="264"/>
      <c r="T447" s="267"/>
      <c r="W447" s="264"/>
      <c r="X447" s="267"/>
    </row>
    <row r="448" spans="1:24">
      <c r="A448" s="265"/>
      <c r="B448" s="265"/>
      <c r="D448" s="264"/>
      <c r="H448" s="267"/>
      <c r="K448" s="264"/>
      <c r="L448" s="267"/>
      <c r="O448" s="264"/>
      <c r="P448" s="267"/>
      <c r="S448" s="264"/>
      <c r="T448" s="267"/>
      <c r="W448" s="264"/>
      <c r="X448" s="267"/>
    </row>
    <row r="449" spans="1:24">
      <c r="A449" s="265"/>
      <c r="B449" s="262"/>
      <c r="D449" s="264"/>
      <c r="H449" s="267"/>
      <c r="K449" s="264"/>
      <c r="L449" s="267"/>
      <c r="O449" s="264"/>
      <c r="P449" s="267"/>
      <c r="S449" s="264"/>
      <c r="T449" s="267"/>
      <c r="W449" s="264"/>
      <c r="X449" s="267"/>
    </row>
    <row r="450" spans="1:24">
      <c r="A450" s="265"/>
      <c r="B450" s="265"/>
      <c r="D450" s="264"/>
      <c r="H450" s="267"/>
      <c r="K450" s="264"/>
      <c r="L450" s="267"/>
      <c r="O450" s="264"/>
      <c r="P450" s="267"/>
      <c r="S450" s="264"/>
      <c r="T450" s="267"/>
      <c r="W450" s="264"/>
      <c r="X450" s="267"/>
    </row>
    <row r="451" spans="1:24">
      <c r="A451" s="265"/>
      <c r="B451" s="265"/>
      <c r="D451" s="264"/>
      <c r="H451" s="267"/>
      <c r="K451" s="264"/>
      <c r="L451" s="267"/>
      <c r="O451" s="264"/>
      <c r="P451" s="267"/>
      <c r="S451" s="264"/>
      <c r="T451" s="267"/>
      <c r="W451" s="264"/>
      <c r="X451" s="267"/>
    </row>
    <row r="452" spans="1:24">
      <c r="A452" s="265"/>
      <c r="B452" s="265"/>
      <c r="D452" s="264"/>
      <c r="H452" s="267"/>
      <c r="K452" s="264"/>
      <c r="L452" s="267"/>
      <c r="O452" s="264"/>
      <c r="P452" s="267"/>
      <c r="S452" s="264"/>
      <c r="T452" s="267"/>
      <c r="W452" s="264"/>
      <c r="X452" s="267"/>
    </row>
    <row r="453" spans="1:24">
      <c r="A453" s="265"/>
      <c r="B453" s="265"/>
      <c r="D453" s="264"/>
      <c r="H453" s="267"/>
      <c r="K453" s="264"/>
      <c r="L453" s="267"/>
      <c r="O453" s="264"/>
      <c r="P453" s="267"/>
      <c r="S453" s="264"/>
      <c r="T453" s="267"/>
      <c r="W453" s="264"/>
      <c r="X453" s="267"/>
    </row>
    <row r="454" spans="1:24">
      <c r="A454" s="265"/>
      <c r="B454" s="265"/>
      <c r="D454" s="264"/>
      <c r="H454" s="267"/>
      <c r="K454" s="264"/>
      <c r="L454" s="267"/>
      <c r="O454" s="264"/>
      <c r="P454" s="267"/>
      <c r="S454" s="264"/>
      <c r="T454" s="267"/>
      <c r="W454" s="264"/>
      <c r="X454" s="267"/>
    </row>
    <row r="455" spans="1:24">
      <c r="A455" s="265"/>
      <c r="B455" s="265"/>
      <c r="D455" s="264"/>
      <c r="H455" s="267"/>
      <c r="K455" s="264"/>
      <c r="L455" s="267"/>
      <c r="O455" s="264"/>
      <c r="P455" s="267"/>
      <c r="S455" s="264"/>
      <c r="T455" s="267"/>
      <c r="W455" s="264"/>
      <c r="X455" s="267"/>
    </row>
    <row r="456" spans="1:24">
      <c r="A456" s="265"/>
      <c r="B456" s="265"/>
      <c r="D456" s="264"/>
      <c r="H456" s="267"/>
      <c r="K456" s="264"/>
      <c r="L456" s="267"/>
      <c r="O456" s="264"/>
      <c r="P456" s="267"/>
      <c r="S456" s="264"/>
      <c r="T456" s="267"/>
      <c r="W456" s="264"/>
      <c r="X456" s="267"/>
    </row>
    <row r="457" spans="1:24">
      <c r="A457" s="265"/>
      <c r="B457" s="265"/>
      <c r="D457" s="264"/>
      <c r="H457" s="267"/>
      <c r="K457" s="264"/>
      <c r="L457" s="267"/>
      <c r="O457" s="264"/>
      <c r="P457" s="267"/>
      <c r="S457" s="264"/>
      <c r="T457" s="267"/>
      <c r="W457" s="264"/>
      <c r="X457" s="267"/>
    </row>
    <row r="458" spans="1:24">
      <c r="A458" s="265"/>
      <c r="B458" s="265"/>
      <c r="D458" s="264"/>
      <c r="H458" s="267"/>
      <c r="K458" s="264"/>
      <c r="L458" s="267"/>
      <c r="O458" s="264"/>
      <c r="P458" s="267"/>
      <c r="S458" s="264"/>
      <c r="T458" s="267"/>
      <c r="W458" s="264"/>
      <c r="X458" s="267"/>
    </row>
    <row r="459" spans="1:24">
      <c r="A459" s="265"/>
      <c r="B459" s="262"/>
      <c r="D459" s="264"/>
      <c r="H459" s="267"/>
      <c r="K459" s="264"/>
      <c r="L459" s="267"/>
      <c r="O459" s="264"/>
      <c r="P459" s="267"/>
      <c r="S459" s="264"/>
      <c r="T459" s="267"/>
      <c r="W459" s="264"/>
      <c r="X459" s="267"/>
    </row>
    <row r="460" spans="1:24">
      <c r="A460" s="265"/>
      <c r="B460" s="265"/>
      <c r="D460" s="264"/>
      <c r="H460" s="267"/>
      <c r="K460" s="264"/>
      <c r="L460" s="267"/>
      <c r="O460" s="264"/>
      <c r="P460" s="267"/>
      <c r="S460" s="264"/>
      <c r="T460" s="267"/>
      <c r="W460" s="264"/>
      <c r="X460" s="267"/>
    </row>
    <row r="461" spans="1:24">
      <c r="A461" s="265"/>
      <c r="B461" s="262"/>
      <c r="D461" s="264"/>
      <c r="H461" s="267"/>
      <c r="K461" s="264"/>
      <c r="L461" s="267"/>
      <c r="O461" s="264"/>
      <c r="P461" s="267"/>
      <c r="S461" s="264"/>
      <c r="T461" s="267"/>
      <c r="W461" s="264"/>
      <c r="X461" s="267"/>
    </row>
    <row r="462" spans="1:24">
      <c r="A462" s="265"/>
      <c r="B462" s="262"/>
      <c r="D462" s="264"/>
      <c r="H462" s="267"/>
      <c r="K462" s="264"/>
      <c r="L462" s="267"/>
      <c r="O462" s="264"/>
      <c r="P462" s="267"/>
      <c r="S462" s="264"/>
      <c r="T462" s="267"/>
      <c r="W462" s="264"/>
      <c r="X462" s="267"/>
    </row>
    <row r="463" spans="1:24">
      <c r="A463" s="265"/>
      <c r="B463" s="262"/>
      <c r="D463" s="264"/>
      <c r="H463" s="267"/>
      <c r="K463" s="264"/>
      <c r="L463" s="267"/>
      <c r="O463" s="264"/>
      <c r="P463" s="267"/>
      <c r="S463" s="264"/>
      <c r="T463" s="267"/>
      <c r="W463" s="264"/>
      <c r="X463" s="267"/>
    </row>
    <row r="464" spans="1:24">
      <c r="A464" s="265"/>
      <c r="B464" s="265"/>
      <c r="D464" s="264"/>
      <c r="H464" s="267"/>
      <c r="K464" s="264"/>
      <c r="L464" s="267"/>
      <c r="O464" s="264"/>
      <c r="P464" s="267"/>
      <c r="S464" s="264"/>
      <c r="T464" s="267"/>
      <c r="W464" s="264"/>
      <c r="X464" s="267"/>
    </row>
    <row r="465" spans="1:24">
      <c r="A465" s="265"/>
      <c r="B465" s="265"/>
      <c r="D465" s="264"/>
      <c r="H465" s="267"/>
      <c r="K465" s="264"/>
      <c r="L465" s="267"/>
      <c r="O465" s="264"/>
      <c r="P465" s="267"/>
      <c r="S465" s="264"/>
      <c r="T465" s="267"/>
      <c r="W465" s="264"/>
      <c r="X465" s="267"/>
    </row>
    <row r="466" spans="1:24">
      <c r="A466" s="265"/>
      <c r="B466" s="265"/>
      <c r="D466" s="264"/>
      <c r="H466" s="267"/>
      <c r="K466" s="264"/>
      <c r="L466" s="267"/>
      <c r="O466" s="264"/>
      <c r="P466" s="267"/>
      <c r="S466" s="264"/>
      <c r="T466" s="267"/>
      <c r="W466" s="264"/>
      <c r="X466" s="267"/>
    </row>
    <row r="467" spans="1:24">
      <c r="A467" s="265"/>
      <c r="B467" s="265"/>
      <c r="D467" s="264"/>
      <c r="H467" s="267"/>
      <c r="K467" s="264"/>
      <c r="L467" s="267"/>
      <c r="O467" s="264"/>
      <c r="P467" s="267"/>
      <c r="S467" s="264"/>
      <c r="T467" s="267"/>
      <c r="W467" s="264"/>
      <c r="X467" s="267"/>
    </row>
    <row r="468" spans="1:24">
      <c r="A468" s="265"/>
      <c r="B468" s="265"/>
      <c r="D468" s="264"/>
      <c r="H468" s="267"/>
      <c r="K468" s="264"/>
      <c r="L468" s="267"/>
      <c r="O468" s="264"/>
      <c r="P468" s="267"/>
      <c r="S468" s="264"/>
      <c r="T468" s="267"/>
      <c r="W468" s="264"/>
      <c r="X468" s="267"/>
    </row>
    <row r="469" spans="1:24">
      <c r="A469" s="265"/>
      <c r="B469" s="265"/>
      <c r="D469" s="264"/>
      <c r="H469" s="267"/>
      <c r="K469" s="264"/>
      <c r="L469" s="267"/>
      <c r="O469" s="264"/>
      <c r="P469" s="267"/>
      <c r="S469" s="264"/>
      <c r="T469" s="267"/>
      <c r="W469" s="264"/>
      <c r="X469" s="267"/>
    </row>
    <row r="470" spans="1:24">
      <c r="A470" s="265"/>
      <c r="B470" s="265"/>
      <c r="D470" s="264"/>
      <c r="H470" s="267"/>
      <c r="K470" s="264"/>
      <c r="L470" s="267"/>
      <c r="O470" s="264"/>
      <c r="P470" s="267"/>
      <c r="S470" s="264"/>
      <c r="T470" s="267"/>
      <c r="W470" s="264"/>
      <c r="X470" s="267"/>
    </row>
    <row r="471" spans="1:24">
      <c r="A471" s="265"/>
      <c r="B471" s="265"/>
      <c r="D471" s="264"/>
      <c r="H471" s="267"/>
      <c r="K471" s="264"/>
      <c r="L471" s="267"/>
      <c r="O471" s="264"/>
      <c r="P471" s="267"/>
      <c r="S471" s="264"/>
      <c r="T471" s="267"/>
      <c r="W471" s="264"/>
      <c r="X471" s="267"/>
    </row>
    <row r="472" spans="1:24">
      <c r="A472" s="265"/>
      <c r="B472" s="265"/>
      <c r="D472" s="264"/>
      <c r="H472" s="267"/>
      <c r="K472" s="264"/>
      <c r="L472" s="267"/>
      <c r="O472" s="264"/>
      <c r="P472" s="267"/>
      <c r="S472" s="264"/>
      <c r="T472" s="267"/>
      <c r="W472" s="264"/>
      <c r="X472" s="267"/>
    </row>
    <row r="473" spans="1:24">
      <c r="A473" s="265"/>
      <c r="B473" s="265"/>
      <c r="D473" s="264"/>
      <c r="H473" s="267"/>
      <c r="K473" s="264"/>
      <c r="L473" s="267"/>
      <c r="O473" s="264"/>
      <c r="P473" s="267"/>
      <c r="S473" s="264"/>
      <c r="T473" s="267"/>
      <c r="W473" s="264"/>
      <c r="X473" s="267"/>
    </row>
    <row r="474" spans="1:24">
      <c r="A474" s="262"/>
      <c r="B474" s="262"/>
      <c r="D474" s="264"/>
      <c r="H474" s="267"/>
      <c r="K474" s="264"/>
      <c r="L474" s="267"/>
      <c r="O474" s="264"/>
      <c r="P474" s="267"/>
      <c r="S474" s="264"/>
      <c r="T474" s="267"/>
      <c r="W474" s="264"/>
      <c r="X474" s="267"/>
    </row>
    <row r="475" spans="1:24">
      <c r="A475" s="265"/>
      <c r="B475" s="265"/>
      <c r="D475" s="264"/>
      <c r="H475" s="267"/>
      <c r="K475" s="264"/>
      <c r="L475" s="267"/>
      <c r="O475" s="264"/>
      <c r="P475" s="267"/>
      <c r="S475" s="264"/>
      <c r="T475" s="267"/>
      <c r="W475" s="264"/>
      <c r="X475" s="267"/>
    </row>
    <row r="476" spans="1:24">
      <c r="A476" s="262"/>
      <c r="B476" s="262"/>
      <c r="D476" s="264"/>
      <c r="H476" s="267"/>
      <c r="K476" s="264"/>
      <c r="L476" s="267"/>
      <c r="O476" s="264"/>
      <c r="P476" s="267"/>
      <c r="S476" s="264"/>
      <c r="T476" s="267"/>
      <c r="W476" s="264"/>
      <c r="X476" s="267"/>
    </row>
    <row r="477" spans="1:24">
      <c r="A477" s="265"/>
      <c r="B477" s="262"/>
      <c r="D477" s="264"/>
      <c r="H477" s="267"/>
      <c r="K477" s="264"/>
      <c r="L477" s="267"/>
      <c r="O477" s="264"/>
      <c r="P477" s="267"/>
      <c r="S477" s="264"/>
      <c r="T477" s="267"/>
      <c r="W477" s="264"/>
      <c r="X477" s="267"/>
    </row>
    <row r="478" spans="1:24">
      <c r="A478" s="265"/>
      <c r="B478" s="265"/>
      <c r="D478" s="264"/>
      <c r="H478" s="267"/>
      <c r="K478" s="264"/>
      <c r="L478" s="267"/>
      <c r="O478" s="264"/>
      <c r="P478" s="267"/>
      <c r="S478" s="264"/>
      <c r="T478" s="267"/>
      <c r="W478" s="264"/>
      <c r="X478" s="267"/>
    </row>
    <row r="479" spans="1:24">
      <c r="A479" s="262"/>
      <c r="B479" s="265"/>
      <c r="D479" s="264"/>
      <c r="H479" s="267"/>
      <c r="K479" s="264"/>
      <c r="L479" s="267"/>
      <c r="O479" s="264"/>
      <c r="P479" s="267"/>
      <c r="S479" s="264"/>
      <c r="T479" s="267"/>
      <c r="W479" s="264"/>
      <c r="X479" s="267"/>
    </row>
    <row r="480" spans="1:24">
      <c r="A480" s="265"/>
      <c r="B480" s="265"/>
      <c r="D480" s="264"/>
      <c r="H480" s="267"/>
      <c r="K480" s="264"/>
      <c r="L480" s="267"/>
      <c r="O480" s="264"/>
      <c r="P480" s="267"/>
      <c r="S480" s="264"/>
      <c r="T480" s="267"/>
      <c r="W480" s="264"/>
      <c r="X480" s="267"/>
    </row>
    <row r="481" spans="1:24">
      <c r="A481" s="265"/>
      <c r="B481" s="265"/>
      <c r="D481" s="264"/>
      <c r="H481" s="267"/>
      <c r="K481" s="264"/>
      <c r="L481" s="267"/>
      <c r="O481" s="264"/>
      <c r="P481" s="267"/>
      <c r="S481" s="264"/>
      <c r="T481" s="267"/>
      <c r="W481" s="264"/>
      <c r="X481" s="267"/>
    </row>
    <row r="482" spans="1:24">
      <c r="A482" s="265"/>
      <c r="B482" s="265"/>
      <c r="D482" s="264"/>
      <c r="H482" s="267"/>
      <c r="K482" s="264"/>
      <c r="L482" s="267"/>
      <c r="O482" s="264"/>
      <c r="P482" s="267"/>
      <c r="S482" s="264"/>
      <c r="T482" s="267"/>
      <c r="W482" s="264"/>
      <c r="X482" s="267"/>
    </row>
    <row r="483" spans="1:24">
      <c r="A483" s="262"/>
      <c r="B483" s="265"/>
      <c r="D483" s="264"/>
      <c r="H483" s="267"/>
      <c r="K483" s="264"/>
      <c r="L483" s="267"/>
      <c r="O483" s="264"/>
      <c r="P483" s="267"/>
      <c r="S483" s="264"/>
      <c r="T483" s="267"/>
      <c r="W483" s="264"/>
      <c r="X483" s="267"/>
    </row>
    <row r="484" spans="1:24">
      <c r="A484" s="265"/>
      <c r="B484" s="265"/>
      <c r="D484" s="264"/>
      <c r="H484" s="267"/>
      <c r="K484" s="264"/>
      <c r="L484" s="267"/>
      <c r="O484" s="264"/>
      <c r="P484" s="267"/>
      <c r="S484" s="264"/>
      <c r="T484" s="267"/>
      <c r="W484" s="264"/>
      <c r="X484" s="267"/>
    </row>
    <row r="485" spans="1:24">
      <c r="A485" s="262"/>
      <c r="B485" s="265"/>
      <c r="D485" s="264"/>
      <c r="H485" s="267"/>
      <c r="K485" s="264"/>
      <c r="L485" s="267"/>
      <c r="O485" s="264"/>
      <c r="P485" s="267"/>
      <c r="S485" s="264"/>
      <c r="T485" s="267"/>
      <c r="W485" s="264"/>
      <c r="X485" s="267"/>
    </row>
    <row r="486" spans="1:24">
      <c r="A486" s="265"/>
      <c r="B486" s="262"/>
      <c r="D486" s="264"/>
      <c r="H486" s="267"/>
      <c r="K486" s="264"/>
      <c r="L486" s="267"/>
      <c r="O486" s="264"/>
      <c r="P486" s="267"/>
      <c r="S486" s="264"/>
      <c r="T486" s="267"/>
      <c r="W486" s="264"/>
      <c r="X486" s="267"/>
    </row>
    <row r="487" spans="1:24">
      <c r="A487" s="265"/>
      <c r="B487" s="262"/>
      <c r="D487" s="264"/>
      <c r="H487" s="267"/>
      <c r="K487" s="264"/>
      <c r="L487" s="267"/>
      <c r="O487" s="264"/>
      <c r="P487" s="267"/>
      <c r="S487" s="264"/>
      <c r="T487" s="267"/>
      <c r="W487" s="264"/>
      <c r="X487" s="267"/>
    </row>
    <row r="488" spans="1:24">
      <c r="A488" s="265"/>
      <c r="B488" s="262"/>
      <c r="D488" s="264"/>
      <c r="H488" s="267"/>
      <c r="K488" s="264"/>
      <c r="L488" s="267"/>
      <c r="O488" s="264"/>
      <c r="P488" s="267"/>
      <c r="S488" s="264"/>
      <c r="T488" s="267"/>
      <c r="W488" s="264"/>
      <c r="X488" s="267"/>
    </row>
    <row r="489" spans="1:24">
      <c r="A489" s="262"/>
      <c r="B489" s="262"/>
      <c r="D489" s="264"/>
      <c r="H489" s="267"/>
      <c r="K489" s="264"/>
      <c r="L489" s="267"/>
      <c r="O489" s="264"/>
      <c r="P489" s="267"/>
      <c r="S489" s="264"/>
      <c r="T489" s="267"/>
      <c r="W489" s="264"/>
      <c r="X489" s="267"/>
    </row>
    <row r="490" spans="1:24">
      <c r="A490" s="265"/>
      <c r="B490" s="265"/>
      <c r="D490" s="264"/>
      <c r="H490" s="267"/>
      <c r="K490" s="264"/>
      <c r="L490" s="267"/>
      <c r="O490" s="264"/>
      <c r="P490" s="267"/>
      <c r="S490" s="264"/>
      <c r="T490" s="267"/>
      <c r="W490" s="264"/>
      <c r="X490" s="267"/>
    </row>
    <row r="491" spans="1:24">
      <c r="A491" s="262"/>
      <c r="B491" s="265"/>
      <c r="D491" s="264"/>
      <c r="H491" s="267"/>
      <c r="K491" s="264"/>
      <c r="L491" s="267"/>
      <c r="O491" s="264"/>
      <c r="P491" s="267"/>
      <c r="S491" s="264"/>
      <c r="T491" s="267"/>
      <c r="W491" s="264"/>
      <c r="X491" s="267"/>
    </row>
    <row r="492" spans="1:24">
      <c r="A492" s="265"/>
      <c r="B492" s="265"/>
      <c r="D492" s="264"/>
      <c r="H492" s="267"/>
      <c r="K492" s="264"/>
      <c r="L492" s="267"/>
      <c r="O492" s="264"/>
      <c r="P492" s="267"/>
      <c r="S492" s="264"/>
      <c r="T492" s="267"/>
      <c r="W492" s="264"/>
      <c r="X492" s="267"/>
    </row>
    <row r="493" spans="1:24">
      <c r="A493" s="265"/>
      <c r="B493" s="265"/>
      <c r="D493" s="264"/>
      <c r="H493" s="267"/>
      <c r="K493" s="264"/>
      <c r="L493" s="267"/>
      <c r="O493" s="264"/>
      <c r="P493" s="267"/>
      <c r="S493" s="264"/>
      <c r="T493" s="267"/>
      <c r="W493" s="264"/>
      <c r="X493" s="267"/>
    </row>
    <row r="494" spans="1:24">
      <c r="A494" s="265"/>
      <c r="B494" s="265"/>
      <c r="D494" s="264"/>
      <c r="H494" s="267"/>
      <c r="K494" s="264"/>
      <c r="L494" s="267"/>
      <c r="O494" s="264"/>
      <c r="P494" s="267"/>
      <c r="S494" s="264"/>
      <c r="T494" s="267"/>
      <c r="W494" s="264"/>
      <c r="X494" s="267"/>
    </row>
    <row r="495" spans="1:24">
      <c r="A495" s="265"/>
      <c r="B495" s="265"/>
      <c r="D495" s="264"/>
      <c r="H495" s="267"/>
      <c r="K495" s="264"/>
      <c r="L495" s="267"/>
      <c r="O495" s="264"/>
      <c r="P495" s="267"/>
      <c r="S495" s="264"/>
      <c r="T495" s="267"/>
      <c r="W495" s="264"/>
      <c r="X495" s="267"/>
    </row>
    <row r="496" spans="1:24">
      <c r="A496" s="265"/>
      <c r="B496" s="265"/>
      <c r="D496" s="264"/>
      <c r="H496" s="267"/>
      <c r="K496" s="264"/>
      <c r="L496" s="267"/>
      <c r="O496" s="264"/>
      <c r="P496" s="267"/>
      <c r="S496" s="264"/>
      <c r="T496" s="267"/>
      <c r="W496" s="264"/>
      <c r="X496" s="267"/>
    </row>
    <row r="497" spans="1:24">
      <c r="A497" s="265"/>
      <c r="B497" s="265"/>
      <c r="D497" s="264"/>
      <c r="H497" s="267"/>
      <c r="K497" s="264"/>
      <c r="L497" s="267"/>
      <c r="O497" s="264"/>
      <c r="P497" s="267"/>
      <c r="S497" s="264"/>
      <c r="T497" s="267"/>
      <c r="W497" s="264"/>
      <c r="X497" s="267"/>
    </row>
    <row r="498" spans="1:24">
      <c r="A498" s="265"/>
      <c r="B498" s="262"/>
      <c r="D498" s="264"/>
      <c r="H498" s="267"/>
      <c r="K498" s="264"/>
      <c r="L498" s="267"/>
      <c r="O498" s="264"/>
      <c r="P498" s="267"/>
      <c r="S498" s="264"/>
      <c r="T498" s="267"/>
      <c r="W498" s="264"/>
      <c r="X498" s="267"/>
    </row>
    <row r="499" spans="1:24">
      <c r="A499" s="265"/>
      <c r="B499" s="262"/>
      <c r="D499" s="264"/>
      <c r="H499" s="267"/>
      <c r="K499" s="264"/>
      <c r="L499" s="267"/>
      <c r="O499" s="264"/>
      <c r="P499" s="267"/>
      <c r="S499" s="264"/>
      <c r="T499" s="267"/>
      <c r="W499" s="264"/>
      <c r="X499" s="267"/>
    </row>
    <row r="500" spans="1:24">
      <c r="A500" s="262"/>
      <c r="B500" s="262"/>
      <c r="D500" s="264"/>
      <c r="H500" s="267"/>
      <c r="K500" s="264"/>
      <c r="L500" s="267"/>
      <c r="O500" s="264"/>
      <c r="P500" s="267"/>
      <c r="S500" s="264"/>
      <c r="T500" s="267"/>
      <c r="W500" s="264"/>
      <c r="X500" s="267"/>
    </row>
    <row r="501" spans="1:24">
      <c r="A501" s="265"/>
      <c r="B501" s="265"/>
      <c r="D501" s="264"/>
      <c r="H501" s="267"/>
      <c r="K501" s="264"/>
      <c r="L501" s="267"/>
      <c r="O501" s="264"/>
      <c r="P501" s="267"/>
      <c r="S501" s="264"/>
      <c r="T501" s="267"/>
      <c r="W501" s="264"/>
      <c r="X501" s="267"/>
    </row>
    <row r="502" spans="1:24">
      <c r="A502" s="265"/>
      <c r="B502" s="265"/>
      <c r="D502" s="264"/>
      <c r="H502" s="267"/>
      <c r="K502" s="264"/>
      <c r="L502" s="267"/>
      <c r="O502" s="264"/>
      <c r="P502" s="267"/>
      <c r="S502" s="264"/>
      <c r="T502" s="267"/>
      <c r="W502" s="264"/>
      <c r="X502" s="267"/>
    </row>
    <row r="503" spans="1:24">
      <c r="A503" s="265"/>
      <c r="B503" s="265"/>
      <c r="D503" s="264"/>
      <c r="H503" s="267"/>
      <c r="K503" s="264"/>
      <c r="L503" s="267"/>
      <c r="O503" s="264"/>
      <c r="P503" s="267"/>
      <c r="S503" s="264"/>
      <c r="T503" s="267"/>
      <c r="W503" s="264"/>
      <c r="X503" s="267"/>
    </row>
    <row r="504" spans="1:24">
      <c r="A504" s="265"/>
      <c r="B504" s="265"/>
      <c r="D504" s="264"/>
      <c r="H504" s="267"/>
      <c r="K504" s="264"/>
      <c r="L504" s="267"/>
      <c r="O504" s="264"/>
      <c r="P504" s="267"/>
      <c r="S504" s="264"/>
      <c r="T504" s="267"/>
      <c r="W504" s="264"/>
      <c r="X504" s="267"/>
    </row>
    <row r="505" spans="1:24">
      <c r="A505" s="265"/>
      <c r="B505" s="265"/>
      <c r="D505" s="264"/>
      <c r="H505" s="267"/>
      <c r="K505" s="264"/>
      <c r="L505" s="267"/>
      <c r="O505" s="264"/>
      <c r="P505" s="267"/>
      <c r="S505" s="264"/>
      <c r="T505" s="267"/>
      <c r="W505" s="264"/>
      <c r="X505" s="267"/>
    </row>
    <row r="506" spans="1:24">
      <c r="A506" s="265"/>
      <c r="B506" s="265"/>
      <c r="D506" s="264"/>
      <c r="H506" s="267"/>
      <c r="K506" s="264"/>
      <c r="L506" s="267"/>
      <c r="O506" s="264"/>
      <c r="P506" s="267"/>
      <c r="S506" s="264"/>
      <c r="T506" s="267"/>
      <c r="W506" s="264"/>
      <c r="X506" s="267"/>
    </row>
    <row r="507" spans="1:24">
      <c r="A507" s="265"/>
      <c r="B507" s="265"/>
      <c r="D507" s="264"/>
      <c r="H507" s="267"/>
      <c r="K507" s="264"/>
      <c r="L507" s="267"/>
      <c r="O507" s="264"/>
      <c r="P507" s="267"/>
      <c r="S507" s="264"/>
      <c r="T507" s="267"/>
      <c r="W507" s="264"/>
      <c r="X507" s="267"/>
    </row>
    <row r="508" spans="1:24">
      <c r="A508" s="265"/>
      <c r="B508" s="265"/>
      <c r="D508" s="264"/>
      <c r="H508" s="267"/>
      <c r="K508" s="264"/>
      <c r="L508" s="267"/>
      <c r="O508" s="264"/>
      <c r="P508" s="267"/>
      <c r="S508" s="264"/>
      <c r="T508" s="267"/>
      <c r="W508" s="264"/>
      <c r="X508" s="267"/>
    </row>
    <row r="509" spans="1:24">
      <c r="A509" s="265"/>
      <c r="B509" s="265"/>
      <c r="D509" s="264"/>
      <c r="H509" s="267"/>
      <c r="K509" s="264"/>
      <c r="L509" s="267"/>
      <c r="O509" s="264"/>
      <c r="P509" s="267"/>
      <c r="S509" s="264"/>
      <c r="T509" s="267"/>
      <c r="W509" s="264"/>
      <c r="X509" s="267"/>
    </row>
    <row r="510" spans="1:24">
      <c r="A510" s="265"/>
      <c r="B510" s="262"/>
      <c r="D510" s="264"/>
      <c r="H510" s="267"/>
      <c r="K510" s="264"/>
      <c r="L510" s="267"/>
      <c r="O510" s="264"/>
      <c r="P510" s="267"/>
      <c r="S510" s="264"/>
      <c r="T510" s="267"/>
      <c r="W510" s="264"/>
      <c r="X510" s="267"/>
    </row>
    <row r="511" spans="1:24">
      <c r="A511" s="265"/>
      <c r="B511" s="262"/>
      <c r="D511" s="264"/>
      <c r="H511" s="267"/>
      <c r="K511" s="264"/>
      <c r="L511" s="267"/>
      <c r="O511" s="264"/>
      <c r="P511" s="267"/>
      <c r="S511" s="264"/>
      <c r="T511" s="267"/>
      <c r="W511" s="264"/>
      <c r="X511" s="267"/>
    </row>
    <row r="512" spans="1:24">
      <c r="A512" s="265"/>
      <c r="B512" s="265"/>
      <c r="D512" s="264"/>
      <c r="H512" s="267"/>
      <c r="K512" s="264"/>
      <c r="L512" s="267"/>
      <c r="O512" s="264"/>
      <c r="P512" s="267"/>
      <c r="S512" s="264"/>
      <c r="T512" s="267"/>
      <c r="W512" s="264"/>
      <c r="X512" s="267"/>
    </row>
    <row r="513" spans="1:24">
      <c r="A513" s="265"/>
      <c r="B513" s="265"/>
      <c r="D513" s="264"/>
      <c r="H513" s="267"/>
      <c r="K513" s="264"/>
      <c r="L513" s="267"/>
      <c r="O513" s="264"/>
      <c r="P513" s="267"/>
      <c r="S513" s="264"/>
      <c r="T513" s="267"/>
      <c r="W513" s="264"/>
      <c r="X513" s="267"/>
    </row>
    <row r="514" spans="1:24">
      <c r="A514" s="265"/>
      <c r="B514" s="262"/>
      <c r="D514" s="264"/>
      <c r="H514" s="267"/>
      <c r="K514" s="264"/>
      <c r="L514" s="267"/>
      <c r="O514" s="264"/>
      <c r="P514" s="267"/>
      <c r="S514" s="264"/>
      <c r="T514" s="267"/>
      <c r="W514" s="264"/>
      <c r="X514" s="267"/>
    </row>
    <row r="515" spans="1:24">
      <c r="A515" s="265"/>
      <c r="B515" s="262"/>
      <c r="D515" s="264"/>
      <c r="H515" s="267"/>
      <c r="K515" s="264"/>
      <c r="L515" s="267"/>
      <c r="O515" s="264"/>
      <c r="P515" s="267"/>
      <c r="S515" s="264"/>
      <c r="T515" s="267"/>
      <c r="W515" s="264"/>
      <c r="X515" s="267"/>
    </row>
  </sheetData>
  <mergeCells count="6">
    <mergeCell ref="U2:X2"/>
    <mergeCell ref="C2:D2"/>
    <mergeCell ref="E2:H2"/>
    <mergeCell ref="I2:L2"/>
    <mergeCell ref="M2:P2"/>
    <mergeCell ref="Q2:T2"/>
  </mergeCells>
  <conditionalFormatting sqref="P5:P97">
    <cfRule type="cellIs" dxfId="9" priority="3" operator="lessThan">
      <formula>-3000</formula>
    </cfRule>
    <cfRule type="cellIs" dxfId="8" priority="4" operator="greaterThan">
      <formula>3500</formula>
    </cfRule>
  </conditionalFormatting>
  <conditionalFormatting sqref="X5:X97">
    <cfRule type="cellIs" dxfId="7" priority="1" operator="lessThan">
      <formula>-3000</formula>
    </cfRule>
    <cfRule type="cellIs" dxfId="6" priority="2" operator="greaterThan">
      <formula>3500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6"/>
  <sheetViews>
    <sheetView workbookViewId="0">
      <selection activeCell="L7" sqref="L7"/>
    </sheetView>
  </sheetViews>
  <sheetFormatPr defaultRowHeight="14.4"/>
  <sheetData>
    <row r="1" spans="1:10">
      <c r="A1" s="341" t="s">
        <v>880</v>
      </c>
      <c r="B1" s="342"/>
      <c r="C1" s="343" t="s">
        <v>918</v>
      </c>
      <c r="D1" s="342"/>
      <c r="E1" s="343" t="s">
        <v>961</v>
      </c>
      <c r="F1" s="342"/>
      <c r="G1" s="343" t="s">
        <v>994</v>
      </c>
      <c r="H1" s="342"/>
      <c r="I1" s="343" t="s">
        <v>1018</v>
      </c>
      <c r="J1" s="342"/>
    </row>
    <row r="2" spans="1:10">
      <c r="A2" s="343" t="s">
        <v>681</v>
      </c>
      <c r="B2" s="342"/>
      <c r="C2" s="343" t="s">
        <v>919</v>
      </c>
      <c r="D2" s="342"/>
      <c r="E2" s="343" t="s">
        <v>962</v>
      </c>
      <c r="F2" s="342"/>
      <c r="G2" s="343" t="s">
        <v>995</v>
      </c>
      <c r="H2" s="342"/>
      <c r="I2" s="343" t="s">
        <v>1019</v>
      </c>
      <c r="J2" s="342"/>
    </row>
    <row r="3" spans="1:10">
      <c r="A3" s="343" t="s">
        <v>881</v>
      </c>
      <c r="B3" s="342"/>
      <c r="C3" s="343" t="s">
        <v>920</v>
      </c>
      <c r="D3" s="342"/>
      <c r="E3" s="343" t="s">
        <v>963</v>
      </c>
      <c r="F3" s="342"/>
      <c r="G3" s="343" t="s">
        <v>996</v>
      </c>
      <c r="H3" s="342"/>
      <c r="I3" s="343" t="s">
        <v>1020</v>
      </c>
      <c r="J3" s="342"/>
    </row>
    <row r="4" spans="1:10">
      <c r="A4" s="343" t="s">
        <v>882</v>
      </c>
      <c r="B4" s="342"/>
      <c r="C4" s="343" t="s">
        <v>921</v>
      </c>
      <c r="D4" s="342"/>
      <c r="E4" s="343" t="s">
        <v>964</v>
      </c>
      <c r="F4" s="342"/>
      <c r="G4" s="343" t="s">
        <v>660</v>
      </c>
      <c r="H4" s="342"/>
      <c r="I4" s="343" t="s">
        <v>1021</v>
      </c>
      <c r="J4" s="342"/>
    </row>
    <row r="5" spans="1:10">
      <c r="A5" s="343" t="s">
        <v>883</v>
      </c>
      <c r="B5" s="342"/>
      <c r="C5" s="343" t="s">
        <v>922</v>
      </c>
      <c r="D5" s="342"/>
      <c r="E5" s="343" t="s">
        <v>965</v>
      </c>
      <c r="F5" s="342"/>
      <c r="G5" s="343" t="s">
        <v>794</v>
      </c>
      <c r="H5" s="342"/>
      <c r="I5" s="343" t="s">
        <v>1022</v>
      </c>
      <c r="J5" s="342"/>
    </row>
    <row r="6" spans="1:10">
      <c r="A6" s="343" t="s">
        <v>503</v>
      </c>
      <c r="B6" s="342"/>
      <c r="C6" s="343" t="s">
        <v>923</v>
      </c>
      <c r="D6" s="342"/>
      <c r="E6" s="343" t="s">
        <v>117</v>
      </c>
      <c r="F6" s="342"/>
      <c r="G6" s="343" t="s">
        <v>825</v>
      </c>
      <c r="H6" s="342"/>
      <c r="I6" s="343" t="s">
        <v>1023</v>
      </c>
      <c r="J6" s="342"/>
    </row>
    <row r="7" spans="1:10">
      <c r="A7" s="343" t="s">
        <v>884</v>
      </c>
      <c r="B7" s="342"/>
      <c r="C7" s="343" t="s">
        <v>924</v>
      </c>
      <c r="D7" s="342"/>
      <c r="E7" s="343" t="s">
        <v>136</v>
      </c>
      <c r="F7" s="342"/>
      <c r="G7" s="343" t="s">
        <v>997</v>
      </c>
      <c r="H7" s="342"/>
      <c r="I7" s="343" t="s">
        <v>1024</v>
      </c>
      <c r="J7" s="342"/>
    </row>
    <row r="8" spans="1:10">
      <c r="A8" s="343" t="s">
        <v>885</v>
      </c>
      <c r="B8" s="342"/>
      <c r="C8" s="343" t="s">
        <v>925</v>
      </c>
      <c r="D8" s="342"/>
      <c r="E8" s="343" t="s">
        <v>966</v>
      </c>
      <c r="F8" s="342"/>
      <c r="G8" s="343" t="s">
        <v>687</v>
      </c>
      <c r="H8" s="342"/>
      <c r="I8" s="343" t="s">
        <v>1025</v>
      </c>
      <c r="J8" s="342"/>
    </row>
    <row r="9" spans="1:10">
      <c r="A9" s="343" t="s">
        <v>886</v>
      </c>
      <c r="B9" s="342"/>
      <c r="C9" s="343" t="s">
        <v>926</v>
      </c>
      <c r="D9" s="342"/>
      <c r="E9" s="343" t="s">
        <v>454</v>
      </c>
      <c r="F9" s="342"/>
      <c r="G9" s="343" t="s">
        <v>692</v>
      </c>
      <c r="H9" s="342"/>
      <c r="I9" s="343" t="s">
        <v>1026</v>
      </c>
      <c r="J9" s="342"/>
    </row>
    <row r="10" spans="1:10">
      <c r="A10" s="343" t="s">
        <v>887</v>
      </c>
      <c r="B10" s="342"/>
      <c r="C10" s="343" t="s">
        <v>927</v>
      </c>
      <c r="D10" s="342"/>
      <c r="E10" s="343" t="s">
        <v>967</v>
      </c>
      <c r="F10" s="342"/>
      <c r="G10" s="343" t="s">
        <v>684</v>
      </c>
      <c r="H10" s="342"/>
      <c r="I10" s="343" t="s">
        <v>1027</v>
      </c>
      <c r="J10" s="342"/>
    </row>
    <row r="11" spans="1:10">
      <c r="A11" s="343" t="s">
        <v>888</v>
      </c>
      <c r="B11" s="342"/>
      <c r="C11" s="343" t="s">
        <v>257</v>
      </c>
      <c r="D11" s="342"/>
      <c r="E11" s="343" t="s">
        <v>968</v>
      </c>
      <c r="F11" s="342"/>
      <c r="G11" s="343" t="s">
        <v>306</v>
      </c>
      <c r="H11" s="342"/>
      <c r="I11" s="343" t="s">
        <v>1028</v>
      </c>
      <c r="J11" s="342"/>
    </row>
    <row r="12" spans="1:10">
      <c r="A12" s="343" t="s">
        <v>889</v>
      </c>
      <c r="B12" s="342"/>
      <c r="C12" s="343" t="s">
        <v>928</v>
      </c>
      <c r="D12" s="342"/>
      <c r="E12" s="343" t="s">
        <v>454</v>
      </c>
      <c r="F12" s="342"/>
      <c r="G12" s="343" t="s">
        <v>689</v>
      </c>
      <c r="H12" s="342"/>
      <c r="I12" s="343" t="s">
        <v>1029</v>
      </c>
      <c r="J12" s="342"/>
    </row>
    <row r="13" spans="1:10">
      <c r="A13" s="343" t="s">
        <v>890</v>
      </c>
      <c r="B13" s="342"/>
      <c r="C13" s="343" t="s">
        <v>929</v>
      </c>
      <c r="D13" s="342"/>
      <c r="E13" s="343" t="s">
        <v>969</v>
      </c>
      <c r="F13" s="342"/>
      <c r="G13" s="343" t="s">
        <v>299</v>
      </c>
      <c r="H13" s="342"/>
      <c r="I13" s="343" t="s">
        <v>1030</v>
      </c>
      <c r="J13" s="342"/>
    </row>
    <row r="14" spans="1:10">
      <c r="A14" s="343" t="s">
        <v>891</v>
      </c>
      <c r="B14" s="342"/>
      <c r="C14" s="343" t="s">
        <v>930</v>
      </c>
      <c r="D14" s="342"/>
      <c r="E14" s="343" t="s">
        <v>969</v>
      </c>
      <c r="F14" s="342"/>
      <c r="G14" s="343" t="s">
        <v>703</v>
      </c>
      <c r="H14" s="342"/>
      <c r="I14" s="343" t="s">
        <v>1031</v>
      </c>
      <c r="J14" s="342"/>
    </row>
    <row r="15" spans="1:10">
      <c r="A15" s="343" t="s">
        <v>892</v>
      </c>
      <c r="B15" s="342"/>
      <c r="C15" s="343" t="s">
        <v>931</v>
      </c>
      <c r="D15" s="342"/>
      <c r="E15" s="343" t="s">
        <v>970</v>
      </c>
      <c r="F15" s="342"/>
      <c r="G15" s="343" t="s">
        <v>699</v>
      </c>
      <c r="H15" s="342"/>
      <c r="I15" s="343" t="s">
        <v>1032</v>
      </c>
      <c r="J15" s="342"/>
    </row>
    <row r="16" spans="1:10">
      <c r="A16" s="343" t="s">
        <v>893</v>
      </c>
      <c r="B16" s="342"/>
      <c r="C16" s="343" t="s">
        <v>469</v>
      </c>
      <c r="D16" s="342"/>
      <c r="E16" s="343" t="s">
        <v>971</v>
      </c>
      <c r="F16" s="342"/>
      <c r="G16" s="343" t="s">
        <v>700</v>
      </c>
      <c r="H16" s="342"/>
      <c r="I16" s="343" t="s">
        <v>362</v>
      </c>
      <c r="J16" s="342"/>
    </row>
    <row r="17" spans="1:10">
      <c r="A17" s="343" t="s">
        <v>248</v>
      </c>
      <c r="B17" s="342"/>
      <c r="C17" s="343" t="s">
        <v>932</v>
      </c>
      <c r="D17" s="342"/>
      <c r="E17" s="343" t="s">
        <v>972</v>
      </c>
      <c r="F17" s="342"/>
      <c r="G17" s="343" t="s">
        <v>308</v>
      </c>
      <c r="H17" s="342"/>
      <c r="I17" s="343" t="s">
        <v>342</v>
      </c>
      <c r="J17" s="342"/>
    </row>
    <row r="18" spans="1:10">
      <c r="A18" s="343" t="s">
        <v>642</v>
      </c>
      <c r="B18" s="342"/>
      <c r="C18" s="343" t="s">
        <v>933</v>
      </c>
      <c r="D18" s="342"/>
      <c r="E18" s="343" t="s">
        <v>969</v>
      </c>
      <c r="F18" s="342"/>
      <c r="G18" s="343" t="s">
        <v>312</v>
      </c>
      <c r="H18" s="342"/>
      <c r="I18" s="343" t="s">
        <v>348</v>
      </c>
      <c r="J18" s="342"/>
    </row>
    <row r="19" spans="1:10">
      <c r="A19" s="343" t="s">
        <v>894</v>
      </c>
      <c r="B19" s="342"/>
      <c r="C19" s="343" t="s">
        <v>934</v>
      </c>
      <c r="D19" s="342"/>
      <c r="E19" s="343" t="s">
        <v>969</v>
      </c>
      <c r="F19" s="342"/>
      <c r="G19" s="343" t="s">
        <v>998</v>
      </c>
      <c r="H19" s="342"/>
      <c r="I19" s="343" t="s">
        <v>1033</v>
      </c>
      <c r="J19" s="342"/>
    </row>
    <row r="20" spans="1:10">
      <c r="A20" s="343" t="s">
        <v>895</v>
      </c>
      <c r="B20" s="342"/>
      <c r="C20" s="343" t="s">
        <v>935</v>
      </c>
      <c r="D20" s="342"/>
      <c r="E20" s="343" t="s">
        <v>973</v>
      </c>
      <c r="F20" s="342"/>
      <c r="G20" s="343" t="s">
        <v>999</v>
      </c>
      <c r="H20" s="342"/>
      <c r="I20" s="343" t="s">
        <v>1034</v>
      </c>
      <c r="J20" s="342"/>
    </row>
    <row r="21" spans="1:10">
      <c r="A21" s="343" t="s">
        <v>896</v>
      </c>
      <c r="B21" s="342"/>
      <c r="C21" s="343" t="s">
        <v>936</v>
      </c>
      <c r="D21" s="342"/>
      <c r="E21" s="343" t="s">
        <v>969</v>
      </c>
      <c r="F21" s="342"/>
      <c r="G21" s="343" t="s">
        <v>1000</v>
      </c>
      <c r="H21" s="342"/>
      <c r="I21" s="343" t="s">
        <v>1035</v>
      </c>
      <c r="J21" s="342"/>
    </row>
    <row r="22" spans="1:10">
      <c r="A22" s="343" t="s">
        <v>704</v>
      </c>
      <c r="B22" s="342"/>
      <c r="C22" s="343" t="s">
        <v>937</v>
      </c>
      <c r="D22" s="342"/>
      <c r="E22" s="343" t="s">
        <v>974</v>
      </c>
      <c r="F22" s="342"/>
      <c r="G22" s="343" t="s">
        <v>324</v>
      </c>
      <c r="H22" s="342"/>
      <c r="I22" s="343" t="s">
        <v>1036</v>
      </c>
      <c r="J22" s="342"/>
    </row>
    <row r="23" spans="1:10">
      <c r="A23" s="343" t="s">
        <v>467</v>
      </c>
      <c r="B23" s="342"/>
      <c r="C23" s="343" t="s">
        <v>938</v>
      </c>
      <c r="D23" s="342"/>
      <c r="E23" s="343" t="s">
        <v>742</v>
      </c>
      <c r="F23" s="342"/>
      <c r="G23" s="343" t="s">
        <v>1001</v>
      </c>
      <c r="H23" s="342"/>
      <c r="I23" s="343" t="s">
        <v>741</v>
      </c>
      <c r="J23" s="342"/>
    </row>
    <row r="24" spans="1:10">
      <c r="A24" s="343" t="s">
        <v>897</v>
      </c>
      <c r="B24" s="342"/>
      <c r="C24" s="343" t="s">
        <v>939</v>
      </c>
      <c r="D24" s="342"/>
      <c r="E24" s="343" t="s">
        <v>975</v>
      </c>
      <c r="F24" s="342"/>
      <c r="G24" s="343" t="s">
        <v>1002</v>
      </c>
      <c r="H24" s="342"/>
      <c r="I24" s="343" t="s">
        <v>1037</v>
      </c>
      <c r="J24" s="342"/>
    </row>
    <row r="25" spans="1:10">
      <c r="A25" s="343" t="s">
        <v>898</v>
      </c>
      <c r="B25" s="342"/>
      <c r="C25" s="343" t="s">
        <v>940</v>
      </c>
      <c r="D25" s="342"/>
      <c r="E25" s="343" t="s">
        <v>144</v>
      </c>
      <c r="F25" s="342"/>
      <c r="G25" s="343" t="s">
        <v>793</v>
      </c>
      <c r="H25" s="342"/>
      <c r="I25" s="343" t="s">
        <v>1038</v>
      </c>
      <c r="J25" s="342"/>
    </row>
    <row r="26" spans="1:10">
      <c r="A26" s="343" t="s">
        <v>899</v>
      </c>
      <c r="B26" s="342"/>
      <c r="C26" s="343" t="s">
        <v>941</v>
      </c>
      <c r="D26" s="342"/>
      <c r="E26" s="343" t="s">
        <v>643</v>
      </c>
      <c r="F26" s="342"/>
      <c r="G26" s="343" t="s">
        <v>1003</v>
      </c>
      <c r="H26" s="342"/>
      <c r="I26" s="343" t="s">
        <v>271</v>
      </c>
      <c r="J26" s="342"/>
    </row>
    <row r="27" spans="1:10">
      <c r="A27" s="343" t="s">
        <v>900</v>
      </c>
      <c r="B27" s="342"/>
      <c r="C27" s="343" t="s">
        <v>942</v>
      </c>
      <c r="D27" s="342"/>
      <c r="E27" s="343" t="s">
        <v>976</v>
      </c>
      <c r="F27" s="342"/>
      <c r="G27" s="343" t="s">
        <v>1004</v>
      </c>
      <c r="H27" s="342"/>
      <c r="I27" s="343" t="s">
        <v>1039</v>
      </c>
      <c r="J27" s="342"/>
    </row>
    <row r="28" spans="1:10">
      <c r="A28" s="343" t="s">
        <v>901</v>
      </c>
      <c r="B28" s="342"/>
      <c r="C28" s="343" t="s">
        <v>943</v>
      </c>
      <c r="D28" s="342"/>
      <c r="E28" s="343" t="s">
        <v>977</v>
      </c>
      <c r="F28" s="342"/>
      <c r="G28" s="343" t="s">
        <v>254</v>
      </c>
      <c r="H28" s="342"/>
      <c r="I28" s="343" t="s">
        <v>1040</v>
      </c>
      <c r="J28" s="342"/>
    </row>
    <row r="29" spans="1:10">
      <c r="A29" s="343" t="s">
        <v>902</v>
      </c>
      <c r="B29" s="342"/>
      <c r="C29" s="343" t="s">
        <v>944</v>
      </c>
      <c r="D29" s="342"/>
      <c r="E29" s="343" t="s">
        <v>978</v>
      </c>
      <c r="F29" s="342"/>
      <c r="G29" s="343" t="s">
        <v>243</v>
      </c>
      <c r="H29" s="342"/>
      <c r="I29" s="343" t="s">
        <v>1041</v>
      </c>
      <c r="J29" s="342"/>
    </row>
    <row r="30" spans="1:10">
      <c r="A30" s="343" t="s">
        <v>462</v>
      </c>
      <c r="B30" s="342"/>
      <c r="C30" s="343" t="s">
        <v>125</v>
      </c>
      <c r="D30" s="342"/>
      <c r="E30" s="343" t="s">
        <v>979</v>
      </c>
      <c r="F30" s="342"/>
      <c r="G30" s="343" t="s">
        <v>232</v>
      </c>
      <c r="H30" s="342"/>
      <c r="I30" s="343" t="s">
        <v>1042</v>
      </c>
      <c r="J30" s="342"/>
    </row>
    <row r="31" spans="1:10">
      <c r="A31" s="343" t="s">
        <v>597</v>
      </c>
      <c r="B31" s="342"/>
      <c r="C31" s="343" t="s">
        <v>634</v>
      </c>
      <c r="D31" s="342"/>
      <c r="E31" s="343" t="s">
        <v>980</v>
      </c>
      <c r="F31" s="342"/>
      <c r="G31" s="343" t="s">
        <v>639</v>
      </c>
      <c r="H31" s="342"/>
      <c r="I31" s="343" t="s">
        <v>679</v>
      </c>
      <c r="J31" s="342"/>
    </row>
    <row r="32" spans="1:10">
      <c r="A32" s="343" t="s">
        <v>903</v>
      </c>
      <c r="B32" s="342"/>
      <c r="C32" s="343" t="s">
        <v>124</v>
      </c>
      <c r="D32" s="342"/>
      <c r="E32" s="343" t="s">
        <v>676</v>
      </c>
      <c r="F32" s="342"/>
      <c r="G32" s="343" t="s">
        <v>640</v>
      </c>
      <c r="H32" s="342"/>
      <c r="I32" s="343" t="s">
        <v>1043</v>
      </c>
      <c r="J32" s="342"/>
    </row>
    <row r="33" spans="1:10">
      <c r="A33" s="343" t="s">
        <v>392</v>
      </c>
      <c r="B33" s="342"/>
      <c r="C33" s="343" t="s">
        <v>633</v>
      </c>
      <c r="D33" s="342"/>
      <c r="E33" s="343" t="s">
        <v>981</v>
      </c>
      <c r="F33" s="342"/>
      <c r="G33" s="343" t="s">
        <v>638</v>
      </c>
      <c r="H33" s="342"/>
      <c r="I33" s="343" t="s">
        <v>1044</v>
      </c>
      <c r="J33" s="342"/>
    </row>
    <row r="34" spans="1:10">
      <c r="A34" s="343" t="s">
        <v>707</v>
      </c>
      <c r="B34" s="342"/>
      <c r="C34" s="343" t="s">
        <v>945</v>
      </c>
      <c r="D34" s="342"/>
      <c r="E34" s="343" t="s">
        <v>982</v>
      </c>
      <c r="F34" s="342"/>
      <c r="G34" s="343" t="s">
        <v>637</v>
      </c>
      <c r="H34" s="342"/>
      <c r="I34" s="343" t="s">
        <v>1045</v>
      </c>
      <c r="J34" s="342"/>
    </row>
    <row r="35" spans="1:10">
      <c r="A35" s="343" t="s">
        <v>387</v>
      </c>
      <c r="B35" s="342"/>
      <c r="C35" s="343" t="s">
        <v>946</v>
      </c>
      <c r="D35" s="342"/>
      <c r="E35" s="343" t="s">
        <v>983</v>
      </c>
      <c r="F35" s="342"/>
      <c r="G35" s="343" t="s">
        <v>214</v>
      </c>
      <c r="H35" s="342"/>
      <c r="I35" s="343" t="s">
        <v>1046</v>
      </c>
      <c r="J35" s="342"/>
    </row>
    <row r="36" spans="1:10">
      <c r="A36" s="343" t="s">
        <v>393</v>
      </c>
      <c r="B36" s="342"/>
      <c r="C36" s="343" t="s">
        <v>947</v>
      </c>
      <c r="D36" s="342"/>
      <c r="E36" s="343" t="s">
        <v>984</v>
      </c>
      <c r="F36" s="342"/>
      <c r="G36" s="343" t="s">
        <v>1005</v>
      </c>
      <c r="H36" s="342"/>
      <c r="I36" s="343" t="s">
        <v>445</v>
      </c>
      <c r="J36" s="342"/>
    </row>
    <row r="37" spans="1:10">
      <c r="A37" s="343" t="s">
        <v>904</v>
      </c>
      <c r="B37" s="342"/>
      <c r="C37" s="343" t="s">
        <v>948</v>
      </c>
      <c r="D37" s="342"/>
      <c r="E37" s="343" t="s">
        <v>188</v>
      </c>
      <c r="F37" s="342"/>
      <c r="G37" s="343" t="s">
        <v>1006</v>
      </c>
      <c r="H37" s="342"/>
      <c r="I37" s="343" t="s">
        <v>749</v>
      </c>
      <c r="J37" s="342"/>
    </row>
    <row r="38" spans="1:10">
      <c r="A38" s="343" t="s">
        <v>905</v>
      </c>
      <c r="B38" s="342"/>
      <c r="C38" s="343" t="s">
        <v>621</v>
      </c>
      <c r="D38" s="342"/>
      <c r="E38" s="343" t="s">
        <v>187</v>
      </c>
      <c r="F38" s="342"/>
      <c r="G38" s="343" t="s">
        <v>1007</v>
      </c>
      <c r="H38" s="342"/>
      <c r="I38" s="343" t="s">
        <v>510</v>
      </c>
      <c r="J38" s="342"/>
    </row>
    <row r="39" spans="1:10">
      <c r="A39" s="343" t="s">
        <v>906</v>
      </c>
      <c r="B39" s="342"/>
      <c r="C39" s="343" t="s">
        <v>949</v>
      </c>
      <c r="D39" s="342"/>
      <c r="E39" s="343" t="s">
        <v>985</v>
      </c>
      <c r="F39" s="342"/>
      <c r="G39" s="343" t="s">
        <v>1008</v>
      </c>
      <c r="H39" s="342"/>
      <c r="I39" s="343" t="s">
        <v>746</v>
      </c>
      <c r="J39" s="342"/>
    </row>
    <row r="40" spans="1:10">
      <c r="A40" s="343" t="s">
        <v>907</v>
      </c>
      <c r="B40" s="342"/>
      <c r="C40" s="343" t="s">
        <v>950</v>
      </c>
      <c r="D40" s="342"/>
      <c r="E40" s="343" t="s">
        <v>986</v>
      </c>
      <c r="F40" s="342"/>
      <c r="G40" s="343" t="s">
        <v>1009</v>
      </c>
      <c r="H40" s="342"/>
      <c r="I40" s="343" t="s">
        <v>511</v>
      </c>
      <c r="J40" s="342"/>
    </row>
    <row r="41" spans="1:10">
      <c r="A41" s="343" t="s">
        <v>908</v>
      </c>
      <c r="B41" s="342"/>
      <c r="C41" s="343" t="s">
        <v>951</v>
      </c>
      <c r="D41" s="342"/>
      <c r="E41" s="343" t="s">
        <v>987</v>
      </c>
      <c r="F41" s="342"/>
      <c r="G41" s="343" t="s">
        <v>1010</v>
      </c>
      <c r="H41" s="342"/>
      <c r="I41" s="343" t="s">
        <v>1047</v>
      </c>
      <c r="J41" s="342"/>
    </row>
    <row r="42" spans="1:10">
      <c r="A42" s="343" t="s">
        <v>909</v>
      </c>
      <c r="B42" s="342"/>
      <c r="C42" s="343" t="s">
        <v>952</v>
      </c>
      <c r="D42" s="342"/>
      <c r="E42" s="343" t="s">
        <v>988</v>
      </c>
      <c r="F42" s="342"/>
      <c r="G42" s="343" t="s">
        <v>1011</v>
      </c>
      <c r="H42" s="342"/>
      <c r="I42" s="343" t="s">
        <v>1048</v>
      </c>
      <c r="J42" s="342"/>
    </row>
    <row r="43" spans="1:10">
      <c r="A43" s="343" t="s">
        <v>910</v>
      </c>
      <c r="B43" s="342"/>
      <c r="C43" s="343" t="s">
        <v>953</v>
      </c>
      <c r="D43" s="342"/>
      <c r="E43" s="343" t="s">
        <v>481</v>
      </c>
      <c r="F43" s="342"/>
      <c r="G43" s="343" t="s">
        <v>1012</v>
      </c>
      <c r="H43" s="342"/>
      <c r="I43" s="343" t="s">
        <v>1049</v>
      </c>
      <c r="J43" s="342"/>
    </row>
    <row r="44" spans="1:10">
      <c r="A44" s="343" t="s">
        <v>911</v>
      </c>
      <c r="B44" s="342"/>
      <c r="C44" s="343" t="s">
        <v>954</v>
      </c>
      <c r="D44" s="342"/>
      <c r="E44" s="343" t="s">
        <v>989</v>
      </c>
      <c r="F44" s="342"/>
      <c r="G44" s="343" t="s">
        <v>1013</v>
      </c>
      <c r="H44" s="342"/>
      <c r="I44" s="343" t="s">
        <v>1050</v>
      </c>
      <c r="J44" s="342"/>
    </row>
    <row r="45" spans="1:10">
      <c r="A45" s="343" t="s">
        <v>912</v>
      </c>
      <c r="B45" s="342"/>
      <c r="C45" s="343" t="s">
        <v>955</v>
      </c>
      <c r="D45" s="342"/>
      <c r="E45" s="343" t="s">
        <v>482</v>
      </c>
      <c r="F45" s="342"/>
      <c r="G45" s="343" t="s">
        <v>1014</v>
      </c>
      <c r="H45" s="342"/>
      <c r="I45" s="343" t="s">
        <v>1051</v>
      </c>
      <c r="J45" s="342"/>
    </row>
    <row r="46" spans="1:10">
      <c r="A46" s="343" t="s">
        <v>913</v>
      </c>
      <c r="B46" s="342"/>
      <c r="C46" s="343" t="s">
        <v>956</v>
      </c>
      <c r="D46" s="342"/>
      <c r="E46" s="343" t="s">
        <v>990</v>
      </c>
      <c r="F46" s="342"/>
      <c r="G46" s="343" t="s">
        <v>1015</v>
      </c>
      <c r="H46" s="342"/>
      <c r="I46" s="343" t="s">
        <v>1052</v>
      </c>
      <c r="J46" s="342"/>
    </row>
    <row r="47" spans="1:10">
      <c r="A47" s="343" t="s">
        <v>914</v>
      </c>
      <c r="B47" s="342"/>
      <c r="C47" s="343" t="s">
        <v>957</v>
      </c>
      <c r="D47" s="342"/>
      <c r="E47" s="343" t="s">
        <v>991</v>
      </c>
      <c r="F47" s="342"/>
      <c r="G47" s="343" t="s">
        <v>382</v>
      </c>
      <c r="H47" s="342"/>
      <c r="I47" s="343" t="s">
        <v>1053</v>
      </c>
      <c r="J47" s="342"/>
    </row>
    <row r="48" spans="1:10">
      <c r="A48" s="343" t="s">
        <v>915</v>
      </c>
      <c r="B48" s="342"/>
      <c r="C48" s="343" t="s">
        <v>958</v>
      </c>
      <c r="D48" s="342"/>
      <c r="E48" s="343" t="s">
        <v>992</v>
      </c>
      <c r="F48" s="342"/>
      <c r="G48" s="343" t="s">
        <v>710</v>
      </c>
      <c r="H48" s="342"/>
      <c r="I48" s="343" t="s">
        <v>1054</v>
      </c>
      <c r="J48" s="342"/>
    </row>
    <row r="49" spans="1:10">
      <c r="A49" s="343" t="s">
        <v>916</v>
      </c>
      <c r="B49" s="342"/>
      <c r="C49" s="343" t="s">
        <v>959</v>
      </c>
      <c r="D49" s="342"/>
      <c r="E49" s="343" t="s">
        <v>223</v>
      </c>
      <c r="F49" s="342"/>
      <c r="G49" s="343" t="s">
        <v>1016</v>
      </c>
      <c r="H49" s="342"/>
      <c r="I49" s="343" t="s">
        <v>1055</v>
      </c>
      <c r="J49" s="342"/>
    </row>
    <row r="50" spans="1:10">
      <c r="A50" s="343" t="s">
        <v>917</v>
      </c>
      <c r="B50" s="342"/>
      <c r="C50" s="343" t="s">
        <v>960</v>
      </c>
      <c r="D50" s="342"/>
      <c r="E50" s="343" t="s">
        <v>993</v>
      </c>
      <c r="F50" s="342"/>
      <c r="G50" s="343" t="s">
        <v>1017</v>
      </c>
      <c r="H50" s="342"/>
      <c r="I50" s="343" t="s">
        <v>1056</v>
      </c>
      <c r="J50" s="342"/>
    </row>
    <row r="51" spans="1:10">
      <c r="I51" s="343" t="s">
        <v>1057</v>
      </c>
      <c r="J51" s="342"/>
    </row>
    <row r="52" spans="1:10">
      <c r="I52" s="343" t="s">
        <v>1058</v>
      </c>
      <c r="J52" s="342"/>
    </row>
    <row r="53" spans="1:10">
      <c r="I53" s="343" t="s">
        <v>1059</v>
      </c>
      <c r="J53" s="342"/>
    </row>
    <row r="54" spans="1:10">
      <c r="I54" s="343" t="s">
        <v>1060</v>
      </c>
      <c r="J54" s="342"/>
    </row>
    <row r="55" spans="1:10">
      <c r="I55" s="343" t="s">
        <v>1061</v>
      </c>
      <c r="J55" s="342"/>
    </row>
    <row r="56" spans="1:10">
      <c r="I56" s="343" t="s">
        <v>1062</v>
      </c>
      <c r="J56" s="342"/>
    </row>
  </sheetData>
  <pageMargins left="0.7" right="0.7" top="0.75" bottom="0.75" header="0.3" footer="0.3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Harga Jual INF_021117</vt:lpstr>
      <vt:lpstr>Rekap_INF</vt:lpstr>
      <vt:lpstr>Harga Jual_BCL_Non Alas Kaki</vt:lpstr>
      <vt:lpstr>Rekap_BCL</vt:lpstr>
      <vt:lpstr>Log INF</vt:lpstr>
      <vt:lpstr>Log BCL</vt:lpstr>
      <vt:lpstr>Sheet1</vt:lpstr>
      <vt:lpstr>Rekap_BCL!Print_Area</vt:lpstr>
      <vt:lpstr>Rekap_INF!Print_Area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2018-10-24T10:46:57Z</dcterms:modified>
</cp:coreProperties>
</file>