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/>
  </bookViews>
  <sheets>
    <sheet name="Harga Jual INF " sheetId="1" r:id="rId1"/>
  </sheets>
  <definedNames>
    <definedName name="_xlnm._FilterDatabase" localSheetId="0" hidden="1">'Harga Jual INF '!$A$4:$AA$269</definedName>
  </definedNames>
  <calcPr calcId="124519"/>
  <fileRecoveryPr autoRecover="0"/>
</workbook>
</file>

<file path=xl/calcChain.xml><?xml version="1.0" encoding="utf-8"?>
<calcChain xmlns="http://schemas.openxmlformats.org/spreadsheetml/2006/main">
  <c r="Z8" i="1"/>
  <c r="AA8" s="1"/>
  <c r="Z7"/>
  <c r="AA7" s="1"/>
  <c r="Z117"/>
  <c r="AA117" s="1"/>
  <c r="Z116"/>
  <c r="AA116" s="1"/>
  <c r="Z84"/>
  <c r="AA84" s="1"/>
  <c r="Z83"/>
  <c r="AA83" s="1"/>
  <c r="Z143"/>
  <c r="AA143" s="1"/>
  <c r="Z68"/>
  <c r="AA68" s="1"/>
  <c r="Z160"/>
  <c r="AA160" s="1"/>
  <c r="N247" l="1"/>
  <c r="N248"/>
  <c r="N249"/>
  <c r="N250"/>
  <c r="N251"/>
  <c r="N252"/>
  <c r="N253"/>
  <c r="N254"/>
  <c r="N255"/>
  <c r="N141"/>
  <c r="N140"/>
  <c r="F68"/>
  <c r="D68"/>
  <c r="N61"/>
  <c r="N64"/>
  <c r="N63"/>
  <c r="N62"/>
  <c r="N70"/>
  <c r="N69"/>
  <c r="N66"/>
  <c r="N65"/>
  <c r="N67"/>
  <c r="N126"/>
  <c r="N125"/>
  <c r="N124"/>
  <c r="N123"/>
  <c r="N122"/>
  <c r="N233"/>
  <c r="N235"/>
  <c r="N234"/>
  <c r="F207"/>
  <c r="D207"/>
  <c r="N208"/>
  <c r="N206"/>
  <c r="N205"/>
  <c r="D52"/>
  <c r="F52"/>
  <c r="N52"/>
  <c r="M52" s="1"/>
  <c r="K52" s="1"/>
  <c r="N45"/>
  <c r="N46"/>
  <c r="N47"/>
  <c r="N48"/>
  <c r="N49"/>
  <c r="N50"/>
  <c r="N51"/>
  <c r="F45"/>
  <c r="D56"/>
  <c r="F56"/>
  <c r="N56"/>
  <c r="M56" s="1"/>
  <c r="N57"/>
  <c r="N58"/>
  <c r="N60"/>
  <c r="N59"/>
  <c r="N55"/>
  <c r="N54"/>
  <c r="N53"/>
  <c r="N166"/>
  <c r="N165"/>
  <c r="N164"/>
  <c r="N168"/>
  <c r="N167"/>
  <c r="N163"/>
  <c r="F84"/>
  <c r="D84"/>
  <c r="F83"/>
  <c r="D83"/>
  <c r="F82"/>
  <c r="D82"/>
  <c r="N94"/>
  <c r="N101"/>
  <c r="N80"/>
  <c r="O80" s="1"/>
  <c r="N99"/>
  <c r="N102"/>
  <c r="N98"/>
  <c r="N79"/>
  <c r="O79" s="1"/>
  <c r="K79"/>
  <c r="N100"/>
  <c r="N93"/>
  <c r="N97"/>
  <c r="N92"/>
  <c r="N85"/>
  <c r="N91"/>
  <c r="N95"/>
  <c r="N96"/>
  <c r="N86"/>
  <c r="N89"/>
  <c r="O52" l="1"/>
  <c r="S52" s="1"/>
  <c r="T52" s="1"/>
  <c r="K56"/>
  <c r="O56"/>
  <c r="S56" s="1"/>
  <c r="T56" s="1"/>
  <c r="N90"/>
  <c r="N88"/>
  <c r="N87"/>
  <c r="X52" l="1"/>
  <c r="Z52"/>
  <c r="AA52" s="1"/>
  <c r="U52"/>
  <c r="W52" s="1"/>
  <c r="X56"/>
  <c r="U56"/>
  <c r="N81"/>
  <c r="N5"/>
  <c r="N6"/>
  <c r="N214"/>
  <c r="N22"/>
  <c r="N21"/>
  <c r="N14"/>
  <c r="N15"/>
  <c r="N16"/>
  <c r="N17"/>
  <c r="N18"/>
  <c r="N19"/>
  <c r="N20"/>
  <c r="N13"/>
  <c r="M143"/>
  <c r="K143" s="1"/>
  <c r="N144"/>
  <c r="M144" s="1"/>
  <c r="O144" s="1"/>
  <c r="F143"/>
  <c r="D143"/>
  <c r="N142"/>
  <c r="N145"/>
  <c r="N161"/>
  <c r="N162"/>
  <c r="N213"/>
  <c r="N72"/>
  <c r="N71"/>
  <c r="N146"/>
  <c r="N147"/>
  <c r="N148"/>
  <c r="N149"/>
  <c r="N194"/>
  <c r="N193"/>
  <c r="N137"/>
  <c r="N138"/>
  <c r="N139"/>
  <c r="N240"/>
  <c r="N239"/>
  <c r="N238"/>
  <c r="N237"/>
  <c r="N236"/>
  <c r="N43"/>
  <c r="N42"/>
  <c r="N41"/>
  <c r="V52" l="1"/>
  <c r="W56"/>
  <c r="V56"/>
  <c r="K144"/>
  <c r="D230"/>
  <c r="F230"/>
  <c r="N230"/>
  <c r="M230" s="1"/>
  <c r="N217"/>
  <c r="N219"/>
  <c r="N221"/>
  <c r="N220"/>
  <c r="N218"/>
  <c r="N232"/>
  <c r="N227"/>
  <c r="N228"/>
  <c r="N216"/>
  <c r="N224"/>
  <c r="N223"/>
  <c r="N222"/>
  <c r="N229"/>
  <c r="K111"/>
  <c r="K110"/>
  <c r="K109"/>
  <c r="N200"/>
  <c r="N201"/>
  <c r="N202"/>
  <c r="N203"/>
  <c r="N204"/>
  <c r="N199"/>
  <c r="N74"/>
  <c r="N75"/>
  <c r="N76"/>
  <c r="N77"/>
  <c r="N78"/>
  <c r="N73"/>
  <c r="N184"/>
  <c r="N183"/>
  <c r="N182"/>
  <c r="N181"/>
  <c r="N185"/>
  <c r="N186"/>
  <c r="N191"/>
  <c r="N190"/>
  <c r="N189"/>
  <c r="N188"/>
  <c r="N187"/>
  <c r="N105"/>
  <c r="N104"/>
  <c r="N103"/>
  <c r="N38"/>
  <c r="N29"/>
  <c r="N40"/>
  <c r="N39"/>
  <c r="N31"/>
  <c r="N32"/>
  <c r="N33"/>
  <c r="N34"/>
  <c r="N35"/>
  <c r="N36"/>
  <c r="N37"/>
  <c r="N30"/>
  <c r="N10"/>
  <c r="N11"/>
  <c r="N12"/>
  <c r="N9"/>
  <c r="F7"/>
  <c r="F8"/>
  <c r="D7"/>
  <c r="D8"/>
  <c r="N119"/>
  <c r="N120"/>
  <c r="N118"/>
  <c r="N246"/>
  <c r="N245"/>
  <c r="N242"/>
  <c r="N243"/>
  <c r="N244"/>
  <c r="N241"/>
  <c r="F117"/>
  <c r="D117"/>
  <c r="F116"/>
  <c r="D116"/>
  <c r="N112"/>
  <c r="N113"/>
  <c r="N114"/>
  <c r="N115"/>
  <c r="N261"/>
  <c r="N262"/>
  <c r="N263"/>
  <c r="N260"/>
  <c r="N130"/>
  <c r="N129"/>
  <c r="N132"/>
  <c r="N133"/>
  <c r="M133" s="1"/>
  <c r="K133" s="1"/>
  <c r="N131"/>
  <c r="M131" s="1"/>
  <c r="O131" s="1"/>
  <c r="N134"/>
  <c r="M134" s="1"/>
  <c r="O134" s="1"/>
  <c r="N128"/>
  <c r="N136"/>
  <c r="M136" s="1"/>
  <c r="K136" s="1"/>
  <c r="N135"/>
  <c r="M135" s="1"/>
  <c r="O135" s="1"/>
  <c r="F108"/>
  <c r="D108"/>
  <c r="N107"/>
  <c r="N106"/>
  <c r="D127"/>
  <c r="F127"/>
  <c r="M127"/>
  <c r="O127" s="1"/>
  <c r="D128"/>
  <c r="F128"/>
  <c r="M128"/>
  <c r="K128" s="1"/>
  <c r="D129"/>
  <c r="F129"/>
  <c r="M129"/>
  <c r="K129" s="1"/>
  <c r="D130"/>
  <c r="F130"/>
  <c r="M130"/>
  <c r="O130" s="1"/>
  <c r="D131"/>
  <c r="F131"/>
  <c r="D132"/>
  <c r="F132"/>
  <c r="M132"/>
  <c r="K132" s="1"/>
  <c r="D133"/>
  <c r="F133"/>
  <c r="D134"/>
  <c r="F134"/>
  <c r="D135"/>
  <c r="F135"/>
  <c r="D136"/>
  <c r="F136"/>
  <c r="D260"/>
  <c r="F260"/>
  <c r="M260"/>
  <c r="K260" s="1"/>
  <c r="D261"/>
  <c r="F261"/>
  <c r="M261"/>
  <c r="O261" s="1"/>
  <c r="D262"/>
  <c r="F262"/>
  <c r="M262"/>
  <c r="O262" s="1"/>
  <c r="D263"/>
  <c r="F263"/>
  <c r="M263"/>
  <c r="K263" s="1"/>
  <c r="D112"/>
  <c r="F112"/>
  <c r="J112"/>
  <c r="K112" s="1"/>
  <c r="O112"/>
  <c r="D113"/>
  <c r="F113"/>
  <c r="J113"/>
  <c r="K113" s="1"/>
  <c r="O113"/>
  <c r="D114"/>
  <c r="F114"/>
  <c r="J114"/>
  <c r="K114" s="1"/>
  <c r="O114"/>
  <c r="D115"/>
  <c r="F115"/>
  <c r="J115"/>
  <c r="K115" s="1"/>
  <c r="O115"/>
  <c r="D241"/>
  <c r="F241"/>
  <c r="J241"/>
  <c r="K241" s="1"/>
  <c r="O241"/>
  <c r="D242"/>
  <c r="F242"/>
  <c r="J242"/>
  <c r="K242" s="1"/>
  <c r="O242"/>
  <c r="D243"/>
  <c r="F243"/>
  <c r="J243"/>
  <c r="K243" s="1"/>
  <c r="O243"/>
  <c r="D244"/>
  <c r="F244"/>
  <c r="J244"/>
  <c r="K244" s="1"/>
  <c r="O244"/>
  <c r="D245"/>
  <c r="F245"/>
  <c r="J245"/>
  <c r="K245" s="1"/>
  <c r="O245"/>
  <c r="D246"/>
  <c r="F246"/>
  <c r="J246"/>
  <c r="K246" s="1"/>
  <c r="O246"/>
  <c r="D118"/>
  <c r="F118"/>
  <c r="J118"/>
  <c r="K118" s="1"/>
  <c r="O118"/>
  <c r="D119"/>
  <c r="F119"/>
  <c r="J119"/>
  <c r="K119" s="1"/>
  <c r="O119"/>
  <c r="D120"/>
  <c r="F120"/>
  <c r="J120"/>
  <c r="K120" s="1"/>
  <c r="O120"/>
  <c r="D121"/>
  <c r="F121"/>
  <c r="J121"/>
  <c r="K121" s="1"/>
  <c r="O121"/>
  <c r="D9"/>
  <c r="F9"/>
  <c r="J9"/>
  <c r="K9" s="1"/>
  <c r="O9"/>
  <c r="D10"/>
  <c r="F10"/>
  <c r="J10"/>
  <c r="K10" s="1"/>
  <c r="O10"/>
  <c r="D11"/>
  <c r="F11"/>
  <c r="J11"/>
  <c r="K11" s="1"/>
  <c r="O11"/>
  <c r="D12"/>
  <c r="F12"/>
  <c r="J12"/>
  <c r="K12" s="1"/>
  <c r="O12"/>
  <c r="D29"/>
  <c r="F29"/>
  <c r="J29"/>
  <c r="K29" s="1"/>
  <c r="O29"/>
  <c r="D28"/>
  <c r="F28"/>
  <c r="K28"/>
  <c r="O28"/>
  <c r="D30"/>
  <c r="F30"/>
  <c r="J30"/>
  <c r="K30" s="1"/>
  <c r="O30"/>
  <c r="D31"/>
  <c r="F31"/>
  <c r="J31"/>
  <c r="K31" s="1"/>
  <c r="O31"/>
  <c r="D32"/>
  <c r="F32"/>
  <c r="J32"/>
  <c r="K32" s="1"/>
  <c r="O32"/>
  <c r="D33"/>
  <c r="F33"/>
  <c r="J33"/>
  <c r="K33" s="1"/>
  <c r="O33"/>
  <c r="D34"/>
  <c r="F34"/>
  <c r="J34"/>
  <c r="K34" s="1"/>
  <c r="O34"/>
  <c r="D35"/>
  <c r="F35"/>
  <c r="J35"/>
  <c r="K35" s="1"/>
  <c r="O35"/>
  <c r="D36"/>
  <c r="F36"/>
  <c r="J36"/>
  <c r="K36" s="1"/>
  <c r="O36"/>
  <c r="D37"/>
  <c r="F37"/>
  <c r="J37"/>
  <c r="K37" s="1"/>
  <c r="O37"/>
  <c r="D38"/>
  <c r="F38"/>
  <c r="J38"/>
  <c r="K38" s="1"/>
  <c r="O38"/>
  <c r="D39"/>
  <c r="F39"/>
  <c r="J39"/>
  <c r="K39" s="1"/>
  <c r="O39"/>
  <c r="D40"/>
  <c r="F40"/>
  <c r="J40"/>
  <c r="K40" s="1"/>
  <c r="O40"/>
  <c r="D233"/>
  <c r="F233"/>
  <c r="J233"/>
  <c r="K233" s="1"/>
  <c r="O233"/>
  <c r="D234"/>
  <c r="F234"/>
  <c r="J234"/>
  <c r="K234" s="1"/>
  <c r="O234"/>
  <c r="D235"/>
  <c r="F235"/>
  <c r="J235"/>
  <c r="K235" s="1"/>
  <c r="O235"/>
  <c r="N198"/>
  <c r="M198" s="1"/>
  <c r="N197"/>
  <c r="N195"/>
  <c r="N196"/>
  <c r="N179"/>
  <c r="M179" s="1"/>
  <c r="N178"/>
  <c r="N176"/>
  <c r="N177"/>
  <c r="M177" s="1"/>
  <c r="N175"/>
  <c r="M175" s="1"/>
  <c r="F180"/>
  <c r="D180"/>
  <c r="N170"/>
  <c r="N171"/>
  <c r="M171" s="1"/>
  <c r="N172"/>
  <c r="M172" s="1"/>
  <c r="N173"/>
  <c r="N174"/>
  <c r="N169"/>
  <c r="M169" s="1"/>
  <c r="N257"/>
  <c r="M257" s="1"/>
  <c r="N256"/>
  <c r="N258"/>
  <c r="N259"/>
  <c r="M259" s="1"/>
  <c r="F160"/>
  <c r="F159"/>
  <c r="D159"/>
  <c r="N158"/>
  <c r="M158" s="1"/>
  <c r="N157"/>
  <c r="N156"/>
  <c r="N155"/>
  <c r="N154"/>
  <c r="M154" s="1"/>
  <c r="N153"/>
  <c r="M153" s="1"/>
  <c r="N152"/>
  <c r="N151"/>
  <c r="N150"/>
  <c r="M150" s="1"/>
  <c r="D160"/>
  <c r="N212"/>
  <c r="N210"/>
  <c r="N211"/>
  <c r="M211" s="1"/>
  <c r="N209"/>
  <c r="N24"/>
  <c r="N25"/>
  <c r="N26"/>
  <c r="M26" s="1"/>
  <c r="N27"/>
  <c r="N23"/>
  <c r="J123"/>
  <c r="J124"/>
  <c r="J125"/>
  <c r="J126"/>
  <c r="J122"/>
  <c r="J148"/>
  <c r="J149"/>
  <c r="J81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80"/>
  <c r="K80" s="1"/>
  <c r="M107"/>
  <c r="M106"/>
  <c r="M139"/>
  <c r="M138"/>
  <c r="M137"/>
  <c r="M147"/>
  <c r="M146"/>
  <c r="M196"/>
  <c r="M197"/>
  <c r="M256"/>
  <c r="M258"/>
  <c r="M61"/>
  <c r="M62"/>
  <c r="M63"/>
  <c r="M64"/>
  <c r="M65"/>
  <c r="M66"/>
  <c r="M67"/>
  <c r="M69"/>
  <c r="M70"/>
  <c r="M140"/>
  <c r="M141"/>
  <c r="M247"/>
  <c r="M248"/>
  <c r="M249"/>
  <c r="M250"/>
  <c r="M251"/>
  <c r="M252"/>
  <c r="M253"/>
  <c r="M254"/>
  <c r="M255"/>
  <c r="M236"/>
  <c r="M237"/>
  <c r="M238"/>
  <c r="M239"/>
  <c r="M240"/>
  <c r="M41"/>
  <c r="M42"/>
  <c r="M43"/>
  <c r="M109"/>
  <c r="M110"/>
  <c r="M111"/>
  <c r="M199"/>
  <c r="M200"/>
  <c r="M201"/>
  <c r="M202"/>
  <c r="M203"/>
  <c r="M204"/>
  <c r="M187"/>
  <c r="M188"/>
  <c r="M189"/>
  <c r="M190"/>
  <c r="M191"/>
  <c r="M71"/>
  <c r="M72"/>
  <c r="M13"/>
  <c r="M14"/>
  <c r="M15"/>
  <c r="M16"/>
  <c r="M17"/>
  <c r="M18"/>
  <c r="M19"/>
  <c r="M20"/>
  <c r="M21"/>
  <c r="M22"/>
  <c r="M142"/>
  <c r="M145"/>
  <c r="M161"/>
  <c r="M162"/>
  <c r="M192"/>
  <c r="M193"/>
  <c r="M194"/>
  <c r="K194" s="1"/>
  <c r="M213"/>
  <c r="M214"/>
  <c r="M5"/>
  <c r="M6"/>
  <c r="M170"/>
  <c r="M173"/>
  <c r="M174"/>
  <c r="M176"/>
  <c r="M178"/>
  <c r="M53"/>
  <c r="M54"/>
  <c r="M55"/>
  <c r="M57"/>
  <c r="M58"/>
  <c r="M59"/>
  <c r="M60"/>
  <c r="M44"/>
  <c r="M45"/>
  <c r="M46"/>
  <c r="M47"/>
  <c r="M48"/>
  <c r="M49"/>
  <c r="M50"/>
  <c r="M51"/>
  <c r="M163"/>
  <c r="M164"/>
  <c r="M165"/>
  <c r="M166"/>
  <c r="M167"/>
  <c r="M168"/>
  <c r="M205"/>
  <c r="M206"/>
  <c r="M208"/>
  <c r="M103"/>
  <c r="M104"/>
  <c r="M105"/>
  <c r="M181"/>
  <c r="M182"/>
  <c r="M183"/>
  <c r="M184"/>
  <c r="M185"/>
  <c r="M186"/>
  <c r="M73"/>
  <c r="M74"/>
  <c r="M75"/>
  <c r="M76"/>
  <c r="M77"/>
  <c r="M78"/>
  <c r="M215"/>
  <c r="M216"/>
  <c r="M217"/>
  <c r="M218"/>
  <c r="M219"/>
  <c r="M220"/>
  <c r="M221"/>
  <c r="M222"/>
  <c r="M223"/>
  <c r="M224"/>
  <c r="M225"/>
  <c r="M226"/>
  <c r="M227"/>
  <c r="M228"/>
  <c r="M229"/>
  <c r="M231"/>
  <c r="M232"/>
  <c r="M24"/>
  <c r="M25"/>
  <c r="M27"/>
  <c r="K27" s="1"/>
  <c r="M209"/>
  <c r="M210"/>
  <c r="M212"/>
  <c r="M151"/>
  <c r="M152"/>
  <c r="M155"/>
  <c r="M156"/>
  <c r="M157"/>
  <c r="M23"/>
  <c r="K230" l="1"/>
  <c r="O230"/>
  <c r="S230" s="1"/>
  <c r="T230" s="1"/>
  <c r="N265"/>
  <c r="O260"/>
  <c r="O136"/>
  <c r="O263"/>
  <c r="O133"/>
  <c r="O132"/>
  <c r="K262"/>
  <c r="K135"/>
  <c r="K131"/>
  <c r="O129"/>
  <c r="O128"/>
  <c r="J265"/>
  <c r="K127"/>
  <c r="K261"/>
  <c r="K134"/>
  <c r="K130"/>
  <c r="X230" l="1"/>
  <c r="U230"/>
  <c r="K239"/>
  <c r="O239"/>
  <c r="W230" l="1"/>
  <c r="V230"/>
  <c r="K253" l="1"/>
  <c r="O66"/>
  <c r="K256"/>
  <c r="K157"/>
  <c r="O25" l="1"/>
  <c r="K25"/>
  <c r="O157"/>
  <c r="O256"/>
  <c r="K201"/>
  <c r="O201"/>
  <c r="O110"/>
  <c r="K254"/>
  <c r="O254"/>
  <c r="O253"/>
  <c r="K66"/>
  <c r="K125"/>
  <c r="O125"/>
  <c r="K210"/>
  <c r="O210"/>
  <c r="F24" l="1"/>
  <c r="F25"/>
  <c r="F26"/>
  <c r="F67"/>
  <c r="F209"/>
  <c r="F210"/>
  <c r="F211"/>
  <c r="F212"/>
  <c r="F150"/>
  <c r="F151"/>
  <c r="F152"/>
  <c r="F153"/>
  <c r="F154"/>
  <c r="F155"/>
  <c r="F156"/>
  <c r="F157"/>
  <c r="F158"/>
  <c r="F122"/>
  <c r="F123"/>
  <c r="F124"/>
  <c r="F125"/>
  <c r="F126"/>
  <c r="F195"/>
  <c r="F196"/>
  <c r="F197"/>
  <c r="F198"/>
  <c r="F256"/>
  <c r="F257"/>
  <c r="F258"/>
  <c r="F259"/>
  <c r="F61"/>
  <c r="F62"/>
  <c r="F63"/>
  <c r="F64"/>
  <c r="F65"/>
  <c r="F66"/>
  <c r="F27"/>
  <c r="F69"/>
  <c r="F70"/>
  <c r="F140"/>
  <c r="F141"/>
  <c r="F247"/>
  <c r="F248"/>
  <c r="F249"/>
  <c r="F250"/>
  <c r="F251"/>
  <c r="F252"/>
  <c r="F253"/>
  <c r="F254"/>
  <c r="F255"/>
  <c r="F236"/>
  <c r="F237"/>
  <c r="F238"/>
  <c r="F239"/>
  <c r="F240"/>
  <c r="F41"/>
  <c r="F42"/>
  <c r="F43"/>
  <c r="F109"/>
  <c r="F110"/>
  <c r="F111"/>
  <c r="F199"/>
  <c r="F200"/>
  <c r="F201"/>
  <c r="F202"/>
  <c r="F203"/>
  <c r="F204"/>
  <c r="F187"/>
  <c r="F188"/>
  <c r="F189"/>
  <c r="F190"/>
  <c r="F191"/>
  <c r="F71"/>
  <c r="F72"/>
  <c r="F14"/>
  <c r="F13"/>
  <c r="F15"/>
  <c r="F16"/>
  <c r="F17"/>
  <c r="F18"/>
  <c r="F19"/>
  <c r="F20"/>
  <c r="F21"/>
  <c r="F22"/>
  <c r="F145"/>
  <c r="F161"/>
  <c r="F144"/>
  <c r="F162"/>
  <c r="F192"/>
  <c r="F142"/>
  <c r="F193"/>
  <c r="F194"/>
  <c r="F213"/>
  <c r="F214"/>
  <c r="F5"/>
  <c r="F6"/>
  <c r="F169"/>
  <c r="F170"/>
  <c r="F171"/>
  <c r="F172"/>
  <c r="F173"/>
  <c r="F174"/>
  <c r="F175"/>
  <c r="F176"/>
  <c r="F177"/>
  <c r="F178"/>
  <c r="F179"/>
  <c r="F53"/>
  <c r="F54"/>
  <c r="F55"/>
  <c r="F57"/>
  <c r="F58"/>
  <c r="F59"/>
  <c r="F60"/>
  <c r="F44"/>
  <c r="F46"/>
  <c r="F47"/>
  <c r="F48"/>
  <c r="F49"/>
  <c r="F50"/>
  <c r="F51"/>
  <c r="F163"/>
  <c r="F164"/>
  <c r="F165"/>
  <c r="F166"/>
  <c r="F167"/>
  <c r="F168"/>
  <c r="F205"/>
  <c r="F206"/>
  <c r="F208"/>
  <c r="F103"/>
  <c r="F104"/>
  <c r="F105"/>
  <c r="F181"/>
  <c r="F182"/>
  <c r="F183"/>
  <c r="F184"/>
  <c r="F185"/>
  <c r="F186"/>
  <c r="F73"/>
  <c r="F74"/>
  <c r="F75"/>
  <c r="F76"/>
  <c r="F77"/>
  <c r="F78"/>
  <c r="F215"/>
  <c r="F216"/>
  <c r="F217"/>
  <c r="F218"/>
  <c r="F219"/>
  <c r="F220"/>
  <c r="F221"/>
  <c r="F222"/>
  <c r="F223"/>
  <c r="F224"/>
  <c r="F225"/>
  <c r="F226"/>
  <c r="F227"/>
  <c r="F228"/>
  <c r="F229"/>
  <c r="F231"/>
  <c r="F232"/>
  <c r="F79"/>
  <c r="F80"/>
  <c r="F81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46"/>
  <c r="F147"/>
  <c r="F148"/>
  <c r="F149"/>
  <c r="F137"/>
  <c r="F138"/>
  <c r="F139"/>
  <c r="F106"/>
  <c r="F107"/>
  <c r="F23"/>
  <c r="D24"/>
  <c r="D25"/>
  <c r="D26"/>
  <c r="D67"/>
  <c r="D209"/>
  <c r="D210"/>
  <c r="D211"/>
  <c r="D212"/>
  <c r="D150"/>
  <c r="D151"/>
  <c r="D152"/>
  <c r="D153"/>
  <c r="D154"/>
  <c r="D155"/>
  <c r="D156"/>
  <c r="D157"/>
  <c r="D158"/>
  <c r="D122"/>
  <c r="D123"/>
  <c r="D124"/>
  <c r="D125"/>
  <c r="D126"/>
  <c r="D195"/>
  <c r="D196"/>
  <c r="D197"/>
  <c r="D198"/>
  <c r="D256"/>
  <c r="D257"/>
  <c r="D258"/>
  <c r="D259"/>
  <c r="D61"/>
  <c r="D62"/>
  <c r="D63"/>
  <c r="D64"/>
  <c r="D65"/>
  <c r="D66"/>
  <c r="D27"/>
  <c r="D69"/>
  <c r="D70"/>
  <c r="D140"/>
  <c r="D141"/>
  <c r="D247"/>
  <c r="D248"/>
  <c r="D249"/>
  <c r="D250"/>
  <c r="D251"/>
  <c r="D252"/>
  <c r="D253"/>
  <c r="D254"/>
  <c r="D255"/>
  <c r="D236"/>
  <c r="D237"/>
  <c r="D238"/>
  <c r="D239"/>
  <c r="D240"/>
  <c r="D41"/>
  <c r="D42"/>
  <c r="D43"/>
  <c r="D109"/>
  <c r="D110"/>
  <c r="D111"/>
  <c r="D199"/>
  <c r="D200"/>
  <c r="D201"/>
  <c r="D202"/>
  <c r="D203"/>
  <c r="D204"/>
  <c r="D187"/>
  <c r="D188"/>
  <c r="D189"/>
  <c r="D190"/>
  <c r="D191"/>
  <c r="D71"/>
  <c r="D72"/>
  <c r="D14"/>
  <c r="D13"/>
  <c r="D15"/>
  <c r="D16"/>
  <c r="D17"/>
  <c r="D18"/>
  <c r="D19"/>
  <c r="D20"/>
  <c r="D21"/>
  <c r="D22"/>
  <c r="D145"/>
  <c r="D161"/>
  <c r="D144"/>
  <c r="D162"/>
  <c r="D192"/>
  <c r="D142"/>
  <c r="D193"/>
  <c r="D194"/>
  <c r="D213"/>
  <c r="D214"/>
  <c r="D5"/>
  <c r="D6"/>
  <c r="D169"/>
  <c r="D170"/>
  <c r="D171"/>
  <c r="D172"/>
  <c r="D173"/>
  <c r="D174"/>
  <c r="D175"/>
  <c r="D176"/>
  <c r="D177"/>
  <c r="D178"/>
  <c r="D179"/>
  <c r="D53"/>
  <c r="D54"/>
  <c r="D55"/>
  <c r="D57"/>
  <c r="D58"/>
  <c r="D59"/>
  <c r="D60"/>
  <c r="D44"/>
  <c r="D45"/>
  <c r="D46"/>
  <c r="D47"/>
  <c r="D48"/>
  <c r="D49"/>
  <c r="D50"/>
  <c r="D51"/>
  <c r="D163"/>
  <c r="D164"/>
  <c r="D165"/>
  <c r="D166"/>
  <c r="D167"/>
  <c r="D168"/>
  <c r="D205"/>
  <c r="D206"/>
  <c r="D208"/>
  <c r="D103"/>
  <c r="D104"/>
  <c r="D105"/>
  <c r="D181"/>
  <c r="D182"/>
  <c r="D183"/>
  <c r="D184"/>
  <c r="D185"/>
  <c r="D186"/>
  <c r="D73"/>
  <c r="D74"/>
  <c r="D75"/>
  <c r="D76"/>
  <c r="D77"/>
  <c r="D78"/>
  <c r="D215"/>
  <c r="D216"/>
  <c r="D217"/>
  <c r="D218"/>
  <c r="D219"/>
  <c r="D220"/>
  <c r="D221"/>
  <c r="D222"/>
  <c r="D223"/>
  <c r="D224"/>
  <c r="D225"/>
  <c r="D226"/>
  <c r="D227"/>
  <c r="D228"/>
  <c r="D229"/>
  <c r="D231"/>
  <c r="D232"/>
  <c r="D79"/>
  <c r="D80"/>
  <c r="D81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46"/>
  <c r="D147"/>
  <c r="D148"/>
  <c r="D149"/>
  <c r="D137"/>
  <c r="D138"/>
  <c r="D139"/>
  <c r="D106"/>
  <c r="D107"/>
  <c r="D23"/>
  <c r="F4" l="1"/>
  <c r="K217" l="1"/>
  <c r="K258"/>
  <c r="K106" l="1"/>
  <c r="K138"/>
  <c r="K99"/>
  <c r="K95"/>
  <c r="K93"/>
  <c r="K91"/>
  <c r="K89"/>
  <c r="K87"/>
  <c r="K85"/>
  <c r="K231"/>
  <c r="K229"/>
  <c r="K227"/>
  <c r="K225"/>
  <c r="K77"/>
  <c r="K73"/>
  <c r="K183"/>
  <c r="K186"/>
  <c r="K181"/>
  <c r="K104"/>
  <c r="K208"/>
  <c r="K123"/>
  <c r="K197"/>
  <c r="K154"/>
  <c r="K152"/>
  <c r="K26"/>
  <c r="K24"/>
  <c r="K107"/>
  <c r="K139"/>
  <c r="K137"/>
  <c r="K149"/>
  <c r="K148"/>
  <c r="K147"/>
  <c r="K146"/>
  <c r="K102"/>
  <c r="K101"/>
  <c r="K100"/>
  <c r="K98"/>
  <c r="K97"/>
  <c r="K96"/>
  <c r="K94"/>
  <c r="K92"/>
  <c r="K90"/>
  <c r="K88"/>
  <c r="K86"/>
  <c r="K81"/>
  <c r="K232"/>
  <c r="K228"/>
  <c r="K226"/>
  <c r="K224"/>
  <c r="K223"/>
  <c r="K221"/>
  <c r="K220"/>
  <c r="K219"/>
  <c r="K218"/>
  <c r="K216"/>
  <c r="K215"/>
  <c r="K78"/>
  <c r="K76"/>
  <c r="K75"/>
  <c r="K74"/>
  <c r="K184"/>
  <c r="K185"/>
  <c r="K182"/>
  <c r="K105"/>
  <c r="K103"/>
  <c r="K206"/>
  <c r="K205"/>
  <c r="K168"/>
  <c r="K167"/>
  <c r="K166"/>
  <c r="K165"/>
  <c r="K163"/>
  <c r="K164"/>
  <c r="K51"/>
  <c r="K49"/>
  <c r="K50"/>
  <c r="K48"/>
  <c r="K47"/>
  <c r="K46"/>
  <c r="K45"/>
  <c r="K44"/>
  <c r="K60"/>
  <c r="K59"/>
  <c r="K58"/>
  <c r="K57"/>
  <c r="K55"/>
  <c r="K54"/>
  <c r="K53"/>
  <c r="K179"/>
  <c r="K178"/>
  <c r="K177"/>
  <c r="K176"/>
  <c r="K175"/>
  <c r="K174"/>
  <c r="K173"/>
  <c r="K172"/>
  <c r="K171"/>
  <c r="K170"/>
  <c r="K169"/>
  <c r="K6"/>
  <c r="K5"/>
  <c r="K214"/>
  <c r="K213"/>
  <c r="K193"/>
  <c r="K142"/>
  <c r="K192"/>
  <c r="K162"/>
  <c r="K161"/>
  <c r="K145"/>
  <c r="K22"/>
  <c r="K21"/>
  <c r="K20"/>
  <c r="K19"/>
  <c r="K18"/>
  <c r="K17"/>
  <c r="K16"/>
  <c r="K15"/>
  <c r="K13"/>
  <c r="K14"/>
  <c r="K72"/>
  <c r="K71"/>
  <c r="K191"/>
  <c r="K190"/>
  <c r="K189"/>
  <c r="K188"/>
  <c r="K187"/>
  <c r="K204"/>
  <c r="K203"/>
  <c r="K202"/>
  <c r="K200"/>
  <c r="K199"/>
  <c r="K43"/>
  <c r="K42"/>
  <c r="K41"/>
  <c r="K240"/>
  <c r="K238"/>
  <c r="K237"/>
  <c r="K236"/>
  <c r="K255"/>
  <c r="K252"/>
  <c r="K251"/>
  <c r="K250"/>
  <c r="K249"/>
  <c r="K248"/>
  <c r="K247"/>
  <c r="K69"/>
  <c r="K141"/>
  <c r="K70"/>
  <c r="K140"/>
  <c r="K64"/>
  <c r="K65"/>
  <c r="K63"/>
  <c r="K62"/>
  <c r="K61"/>
  <c r="K259"/>
  <c r="K257"/>
  <c r="K198"/>
  <c r="K196"/>
  <c r="K126"/>
  <c r="K124"/>
  <c r="K122"/>
  <c r="K158"/>
  <c r="K156"/>
  <c r="K155"/>
  <c r="K153"/>
  <c r="K151"/>
  <c r="K150"/>
  <c r="K212"/>
  <c r="K211"/>
  <c r="K209"/>
  <c r="K67"/>
  <c r="K222" l="1"/>
  <c r="O222"/>
  <c r="S234" l="1"/>
  <c r="T234" s="1"/>
  <c r="X234" s="1"/>
  <c r="S40"/>
  <c r="T40" s="1"/>
  <c r="X40" s="1"/>
  <c r="S39"/>
  <c r="T39" s="1"/>
  <c r="X39" s="1"/>
  <c r="S35"/>
  <c r="T35" s="1"/>
  <c r="X35" s="1"/>
  <c r="S12"/>
  <c r="T12" s="1"/>
  <c r="Z12" s="1"/>
  <c r="AA12" s="1"/>
  <c r="S28"/>
  <c r="T28" s="1"/>
  <c r="S11"/>
  <c r="T11" s="1"/>
  <c r="S121"/>
  <c r="T121" s="1"/>
  <c r="S118"/>
  <c r="T118" s="1"/>
  <c r="X118" s="1"/>
  <c r="S244"/>
  <c r="T244" s="1"/>
  <c r="X244" s="1"/>
  <c r="S243"/>
  <c r="T243" s="1"/>
  <c r="X243" s="1"/>
  <c r="S242"/>
  <c r="T242" s="1"/>
  <c r="X242" s="1"/>
  <c r="S241"/>
  <c r="T241" s="1"/>
  <c r="X241" s="1"/>
  <c r="S115"/>
  <c r="T115" s="1"/>
  <c r="S114"/>
  <c r="T114" s="1"/>
  <c r="X114" s="1"/>
  <c r="S112"/>
  <c r="T112" s="1"/>
  <c r="S261"/>
  <c r="T261" s="1"/>
  <c r="X261" s="1"/>
  <c r="S136"/>
  <c r="T136" s="1"/>
  <c r="S135"/>
  <c r="T135" s="1"/>
  <c r="S134"/>
  <c r="T134" s="1"/>
  <c r="S131"/>
  <c r="T131" s="1"/>
  <c r="X131" s="1"/>
  <c r="S130"/>
  <c r="T130" s="1"/>
  <c r="X130" s="1"/>
  <c r="S129"/>
  <c r="T129" s="1"/>
  <c r="X129" s="1"/>
  <c r="S127"/>
  <c r="T127" s="1"/>
  <c r="X127" s="1"/>
  <c r="O107"/>
  <c r="O106"/>
  <c r="S106" s="1"/>
  <c r="T106" s="1"/>
  <c r="X106" s="1"/>
  <c r="O139"/>
  <c r="S139" s="1"/>
  <c r="T139" s="1"/>
  <c r="X139" s="1"/>
  <c r="O138"/>
  <c r="S138" s="1"/>
  <c r="T138" s="1"/>
  <c r="X138" s="1"/>
  <c r="O137"/>
  <c r="S137" s="1"/>
  <c r="T137" s="1"/>
  <c r="X137" s="1"/>
  <c r="O149"/>
  <c r="S149" s="1"/>
  <c r="T149" s="1"/>
  <c r="X149" s="1"/>
  <c r="O148"/>
  <c r="S148" s="1"/>
  <c r="T148" s="1"/>
  <c r="X148" s="1"/>
  <c r="O147"/>
  <c r="S147" s="1"/>
  <c r="T147" s="1"/>
  <c r="O146"/>
  <c r="S146" s="1"/>
  <c r="T146" s="1"/>
  <c r="O102"/>
  <c r="S102" s="1"/>
  <c r="T102" s="1"/>
  <c r="X102" s="1"/>
  <c r="O99"/>
  <c r="S99" s="1"/>
  <c r="T99" s="1"/>
  <c r="X99" s="1"/>
  <c r="O97"/>
  <c r="S97" s="1"/>
  <c r="T97" s="1"/>
  <c r="X97" s="1"/>
  <c r="O89"/>
  <c r="S89" s="1"/>
  <c r="T89" s="1"/>
  <c r="O88"/>
  <c r="S88" s="1"/>
  <c r="T88" s="1"/>
  <c r="Z88" s="1"/>
  <c r="AA88" s="1"/>
  <c r="O221"/>
  <c r="S221" s="1"/>
  <c r="T221" s="1"/>
  <c r="O215"/>
  <c r="S215" s="1"/>
  <c r="T215" s="1"/>
  <c r="O78"/>
  <c r="S78" s="1"/>
  <c r="T78" s="1"/>
  <c r="O76"/>
  <c r="S76" s="1"/>
  <c r="T76" s="1"/>
  <c r="O75"/>
  <c r="S75" s="1"/>
  <c r="T75" s="1"/>
  <c r="X75" s="1"/>
  <c r="O74"/>
  <c r="S74" s="1"/>
  <c r="T74" s="1"/>
  <c r="X74" s="1"/>
  <c r="O73"/>
  <c r="S73" s="1"/>
  <c r="T73" s="1"/>
  <c r="Z73" s="1"/>
  <c r="AA73" s="1"/>
  <c r="O184"/>
  <c r="S184" s="1"/>
  <c r="T184" s="1"/>
  <c r="X184" s="1"/>
  <c r="O183"/>
  <c r="S183" s="1"/>
  <c r="T183" s="1"/>
  <c r="O185"/>
  <c r="S185" s="1"/>
  <c r="T185" s="1"/>
  <c r="X185" s="1"/>
  <c r="O186"/>
  <c r="S186" s="1"/>
  <c r="T186" s="1"/>
  <c r="X186" s="1"/>
  <c r="O168"/>
  <c r="S168" s="1"/>
  <c r="T168" s="1"/>
  <c r="X168" s="1"/>
  <c r="O47"/>
  <c r="S47" s="1"/>
  <c r="T47" s="1"/>
  <c r="O46"/>
  <c r="S46" s="1"/>
  <c r="T46" s="1"/>
  <c r="O45"/>
  <c r="S45" s="1"/>
  <c r="T45" s="1"/>
  <c r="O44"/>
  <c r="S44" s="1"/>
  <c r="T44" s="1"/>
  <c r="Z44" s="1"/>
  <c r="AA44" s="1"/>
  <c r="O60"/>
  <c r="S60" s="1"/>
  <c r="T60" s="1"/>
  <c r="X60" s="1"/>
  <c r="O59"/>
  <c r="S59" s="1"/>
  <c r="T59" s="1"/>
  <c r="X59" s="1"/>
  <c r="O170"/>
  <c r="S170" s="1"/>
  <c r="T170" s="1"/>
  <c r="X170" s="1"/>
  <c r="O194"/>
  <c r="S194" s="1"/>
  <c r="T194" s="1"/>
  <c r="X194" s="1"/>
  <c r="O193"/>
  <c r="S193" s="1"/>
  <c r="T193" s="1"/>
  <c r="X193" s="1"/>
  <c r="O192"/>
  <c r="S192" s="1"/>
  <c r="T192" s="1"/>
  <c r="X192" s="1"/>
  <c r="O162"/>
  <c r="S162" s="1"/>
  <c r="T162" s="1"/>
  <c r="X162" s="1"/>
  <c r="S144"/>
  <c r="T144" s="1"/>
  <c r="X144" s="1"/>
  <c r="O161"/>
  <c r="S161" s="1"/>
  <c r="T161" s="1"/>
  <c r="X161" s="1"/>
  <c r="O145"/>
  <c r="S145" s="1"/>
  <c r="T145" s="1"/>
  <c r="O22"/>
  <c r="S22" s="1"/>
  <c r="T22" s="1"/>
  <c r="O21"/>
  <c r="S21" s="1"/>
  <c r="T21" s="1"/>
  <c r="O20"/>
  <c r="S20" s="1"/>
  <c r="T20" s="1"/>
  <c r="O19"/>
  <c r="S19" s="1"/>
  <c r="T19" s="1"/>
  <c r="O18"/>
  <c r="S18" s="1"/>
  <c r="T18" s="1"/>
  <c r="O17"/>
  <c r="S17" s="1"/>
  <c r="T17" s="1"/>
  <c r="O16"/>
  <c r="S16" s="1"/>
  <c r="T16" s="1"/>
  <c r="X16" s="1"/>
  <c r="O15"/>
  <c r="S15" s="1"/>
  <c r="T15" s="1"/>
  <c r="X15" s="1"/>
  <c r="O13"/>
  <c r="S13" s="1"/>
  <c r="T13" s="1"/>
  <c r="X13" s="1"/>
  <c r="O14"/>
  <c r="S14" s="1"/>
  <c r="T14" s="1"/>
  <c r="X14" s="1"/>
  <c r="O72"/>
  <c r="S72" s="1"/>
  <c r="T72" s="1"/>
  <c r="X72" s="1"/>
  <c r="O71"/>
  <c r="S71" s="1"/>
  <c r="T71" s="1"/>
  <c r="X71" s="1"/>
  <c r="O187"/>
  <c r="S187" s="1"/>
  <c r="T187" s="1"/>
  <c r="X187" s="1"/>
  <c r="O203"/>
  <c r="S203" s="1"/>
  <c r="T203" s="1"/>
  <c r="X203" s="1"/>
  <c r="O202"/>
  <c r="S202" s="1"/>
  <c r="T202" s="1"/>
  <c r="Z202" s="1"/>
  <c r="AA202" s="1"/>
  <c r="S201"/>
  <c r="T201" s="1"/>
  <c r="X201" s="1"/>
  <c r="O200"/>
  <c r="S200" s="1"/>
  <c r="T200" s="1"/>
  <c r="X200" s="1"/>
  <c r="O199"/>
  <c r="S199" s="1"/>
  <c r="T199" s="1"/>
  <c r="X199" s="1"/>
  <c r="O111"/>
  <c r="S111" s="1"/>
  <c r="T111" s="1"/>
  <c r="X111" s="1"/>
  <c r="O258"/>
  <c r="S258" s="1"/>
  <c r="T258" s="1"/>
  <c r="Z258" s="1"/>
  <c r="S125"/>
  <c r="T125" s="1"/>
  <c r="O124"/>
  <c r="S124" s="1"/>
  <c r="T124" s="1"/>
  <c r="X124" s="1"/>
  <c r="O67"/>
  <c r="S67" s="1"/>
  <c r="T67" s="1"/>
  <c r="X67" s="1"/>
  <c r="X19" l="1"/>
  <c r="Z19"/>
  <c r="AA19" s="1"/>
  <c r="X47"/>
  <c r="Z47"/>
  <c r="AA47" s="1"/>
  <c r="Z215"/>
  <c r="AA215" s="1"/>
  <c r="X89"/>
  <c r="Z89"/>
  <c r="AA89" s="1"/>
  <c r="X147"/>
  <c r="Z147"/>
  <c r="AA147" s="1"/>
  <c r="X136"/>
  <c r="Z136"/>
  <c r="AA136" s="1"/>
  <c r="X258"/>
  <c r="AA258"/>
  <c r="X18"/>
  <c r="Z18"/>
  <c r="AA18" s="1"/>
  <c r="X145"/>
  <c r="Z145"/>
  <c r="AA145" s="1"/>
  <c r="X46"/>
  <c r="Z46"/>
  <c r="AA46" s="1"/>
  <c r="X78"/>
  <c r="Z78"/>
  <c r="AA78" s="1"/>
  <c r="X146"/>
  <c r="Z146"/>
  <c r="AA146" s="1"/>
  <c r="X135"/>
  <c r="Z135"/>
  <c r="AA135" s="1"/>
  <c r="X112"/>
  <c r="Z112"/>
  <c r="AA112" s="1"/>
  <c r="X121"/>
  <c r="Z121"/>
  <c r="AA121" s="1"/>
  <c r="X125"/>
  <c r="Z125"/>
  <c r="AA125" s="1"/>
  <c r="X17"/>
  <c r="Z17"/>
  <c r="AA17" s="1"/>
  <c r="X45"/>
  <c r="Z45"/>
  <c r="AA45" s="1"/>
  <c r="X134"/>
  <c r="Z134"/>
  <c r="AA134" s="1"/>
  <c r="X11"/>
  <c r="Z11"/>
  <c r="AA11" s="1"/>
  <c r="X20"/>
  <c r="Z20"/>
  <c r="AA20" s="1"/>
  <c r="X183"/>
  <c r="Z183"/>
  <c r="AA183" s="1"/>
  <c r="X221"/>
  <c r="Z221"/>
  <c r="AA221" s="1"/>
  <c r="X115"/>
  <c r="Z115"/>
  <c r="AA115" s="1"/>
  <c r="X73"/>
  <c r="S107"/>
  <c r="T107" s="1"/>
  <c r="X107" s="1"/>
  <c r="X22"/>
  <c r="X12"/>
  <c r="X44"/>
  <c r="X88"/>
  <c r="X28"/>
  <c r="X202"/>
  <c r="X21"/>
  <c r="U76"/>
  <c r="X76"/>
  <c r="U67"/>
  <c r="W67" s="1"/>
  <c r="U125"/>
  <c r="W125" s="1"/>
  <c r="O126"/>
  <c r="S126" s="1"/>
  <c r="T126" s="1"/>
  <c r="O196"/>
  <c r="S196" s="1"/>
  <c r="T196" s="1"/>
  <c r="X196" s="1"/>
  <c r="O198"/>
  <c r="S198" s="1"/>
  <c r="T198" s="1"/>
  <c r="X198" s="1"/>
  <c r="O257"/>
  <c r="S257" s="1"/>
  <c r="T257" s="1"/>
  <c r="O140"/>
  <c r="S140" s="1"/>
  <c r="T140" s="1"/>
  <c r="X140" s="1"/>
  <c r="O141"/>
  <c r="S141" s="1"/>
  <c r="T141" s="1"/>
  <c r="X141" s="1"/>
  <c r="O247"/>
  <c r="S247" s="1"/>
  <c r="O250"/>
  <c r="S250" s="1"/>
  <c r="T250" s="1"/>
  <c r="X250" s="1"/>
  <c r="O252"/>
  <c r="S252" s="1"/>
  <c r="T252" s="1"/>
  <c r="X252" s="1"/>
  <c r="S254"/>
  <c r="T254" s="1"/>
  <c r="X254" s="1"/>
  <c r="U199"/>
  <c r="W199" s="1"/>
  <c r="U187"/>
  <c r="W187" s="1"/>
  <c r="U18"/>
  <c r="W18" s="1"/>
  <c r="U20"/>
  <c r="W20" s="1"/>
  <c r="U22"/>
  <c r="W22" s="1"/>
  <c r="U162"/>
  <c r="W162" s="1"/>
  <c r="U170"/>
  <c r="W170" s="1"/>
  <c r="U59"/>
  <c r="W59" s="1"/>
  <c r="U60"/>
  <c r="W60" s="1"/>
  <c r="U47"/>
  <c r="W47" s="1"/>
  <c r="U168"/>
  <c r="W168" s="1"/>
  <c r="U183"/>
  <c r="W183" s="1"/>
  <c r="U221"/>
  <c r="W221" s="1"/>
  <c r="O197"/>
  <c r="S197" s="1"/>
  <c r="T197" s="1"/>
  <c r="X197" s="1"/>
  <c r="U124"/>
  <c r="W124" s="1"/>
  <c r="O123"/>
  <c r="S123" s="1"/>
  <c r="T123" s="1"/>
  <c r="X123" s="1"/>
  <c r="S256"/>
  <c r="T256" s="1"/>
  <c r="X256" s="1"/>
  <c r="U258"/>
  <c r="W258" s="1"/>
  <c r="O70"/>
  <c r="S70" s="1"/>
  <c r="T70" s="1"/>
  <c r="X70" s="1"/>
  <c r="O69"/>
  <c r="S69" s="1"/>
  <c r="T69" s="1"/>
  <c r="X69" s="1"/>
  <c r="O248"/>
  <c r="S248" s="1"/>
  <c r="T248" s="1"/>
  <c r="X248" s="1"/>
  <c r="O251"/>
  <c r="S251" s="1"/>
  <c r="T251" s="1"/>
  <c r="X251" s="1"/>
  <c r="S253"/>
  <c r="T253" s="1"/>
  <c r="X253" s="1"/>
  <c r="U111"/>
  <c r="W111" s="1"/>
  <c r="U201"/>
  <c r="W201" s="1"/>
  <c r="U202"/>
  <c r="W202" s="1"/>
  <c r="U203"/>
  <c r="W203" s="1"/>
  <c r="U71"/>
  <c r="W71" s="1"/>
  <c r="U14"/>
  <c r="W14" s="1"/>
  <c r="U145"/>
  <c r="W145" s="1"/>
  <c r="U192"/>
  <c r="W192" s="1"/>
  <c r="U193"/>
  <c r="W193" s="1"/>
  <c r="U46"/>
  <c r="W46" s="1"/>
  <c r="U75"/>
  <c r="W75" s="1"/>
  <c r="U215"/>
  <c r="W215" s="1"/>
  <c r="O24"/>
  <c r="S24" s="1"/>
  <c r="T24" s="1"/>
  <c r="S25"/>
  <c r="T25" s="1"/>
  <c r="X25" s="1"/>
  <c r="O209"/>
  <c r="S209" s="1"/>
  <c r="T209" s="1"/>
  <c r="O211"/>
  <c r="S211" s="1"/>
  <c r="T211" s="1"/>
  <c r="X211" s="1"/>
  <c r="O151"/>
  <c r="S151" s="1"/>
  <c r="T151" s="1"/>
  <c r="X151" s="1"/>
  <c r="O154"/>
  <c r="S154" s="1"/>
  <c r="T154" s="1"/>
  <c r="X154" s="1"/>
  <c r="O61"/>
  <c r="S61" s="1"/>
  <c r="T61" s="1"/>
  <c r="X61" s="1"/>
  <c r="O62"/>
  <c r="S62" s="1"/>
  <c r="T62" s="1"/>
  <c r="O63"/>
  <c r="S63" s="1"/>
  <c r="T63" s="1"/>
  <c r="O65"/>
  <c r="S65" s="1"/>
  <c r="T65" s="1"/>
  <c r="O64"/>
  <c r="S64" s="1"/>
  <c r="T64" s="1"/>
  <c r="S66"/>
  <c r="T66" s="1"/>
  <c r="O27"/>
  <c r="S27" s="1"/>
  <c r="T27" s="1"/>
  <c r="O249"/>
  <c r="S249" s="1"/>
  <c r="T249" s="1"/>
  <c r="X249" s="1"/>
  <c r="O255"/>
  <c r="S255" s="1"/>
  <c r="T255" s="1"/>
  <c r="X255" s="1"/>
  <c r="O236"/>
  <c r="S236" s="1"/>
  <c r="T236" s="1"/>
  <c r="X236" s="1"/>
  <c r="O237"/>
  <c r="S237" s="1"/>
  <c r="T237" s="1"/>
  <c r="X237" s="1"/>
  <c r="O238"/>
  <c r="S238" s="1"/>
  <c r="T238" s="1"/>
  <c r="X238" s="1"/>
  <c r="S239"/>
  <c r="O240"/>
  <c r="S240" s="1"/>
  <c r="T240" s="1"/>
  <c r="X240" s="1"/>
  <c r="O41"/>
  <c r="S41" s="1"/>
  <c r="T41" s="1"/>
  <c r="X41" s="1"/>
  <c r="O42"/>
  <c r="S42" s="1"/>
  <c r="T42" s="1"/>
  <c r="X42" s="1"/>
  <c r="O43"/>
  <c r="S43" s="1"/>
  <c r="T43" s="1"/>
  <c r="X43" s="1"/>
  <c r="O109"/>
  <c r="S109" s="1"/>
  <c r="T109" s="1"/>
  <c r="X109" s="1"/>
  <c r="S110"/>
  <c r="T110" s="1"/>
  <c r="O189"/>
  <c r="S189" s="1"/>
  <c r="T189" s="1"/>
  <c r="X189" s="1"/>
  <c r="O190"/>
  <c r="S190" s="1"/>
  <c r="T190" s="1"/>
  <c r="X190" s="1"/>
  <c r="O214"/>
  <c r="S214" s="1"/>
  <c r="T214" s="1"/>
  <c r="X214" s="1"/>
  <c r="O171"/>
  <c r="S171" s="1"/>
  <c r="T171" s="1"/>
  <c r="X171" s="1"/>
  <c r="O173"/>
  <c r="S173" s="1"/>
  <c r="T173" s="1"/>
  <c r="X173" s="1"/>
  <c r="O174"/>
  <c r="S174" s="1"/>
  <c r="T174" s="1"/>
  <c r="X174" s="1"/>
  <c r="O178"/>
  <c r="S178" s="1"/>
  <c r="T178" s="1"/>
  <c r="O165"/>
  <c r="S165" s="1"/>
  <c r="T165" s="1"/>
  <c r="X165" s="1"/>
  <c r="O167"/>
  <c r="S167" s="1"/>
  <c r="T167" s="1"/>
  <c r="X167" s="1"/>
  <c r="O105"/>
  <c r="S105" s="1"/>
  <c r="T105" s="1"/>
  <c r="X105" s="1"/>
  <c r="O181"/>
  <c r="S181" s="1"/>
  <c r="T181" s="1"/>
  <c r="O182"/>
  <c r="S182" s="1"/>
  <c r="T182" s="1"/>
  <c r="X182" s="1"/>
  <c r="U78"/>
  <c r="W78" s="1"/>
  <c r="O216"/>
  <c r="S216" s="1"/>
  <c r="T216" s="1"/>
  <c r="X216" s="1"/>
  <c r="O217"/>
  <c r="S217" s="1"/>
  <c r="T217" s="1"/>
  <c r="X217" s="1"/>
  <c r="S222"/>
  <c r="T222" s="1"/>
  <c r="O223"/>
  <c r="S223" s="1"/>
  <c r="T223" s="1"/>
  <c r="O224"/>
  <c r="S224" s="1"/>
  <c r="T224" s="1"/>
  <c r="O225"/>
  <c r="S225" s="1"/>
  <c r="T225" s="1"/>
  <c r="O226"/>
  <c r="S226" s="1"/>
  <c r="T226" s="1"/>
  <c r="U97"/>
  <c r="W97" s="1"/>
  <c r="U147"/>
  <c r="W147" s="1"/>
  <c r="U148"/>
  <c r="W148" s="1"/>
  <c r="U139"/>
  <c r="W139" s="1"/>
  <c r="U107"/>
  <c r="W107" s="1"/>
  <c r="U129"/>
  <c r="W129" s="1"/>
  <c r="U131"/>
  <c r="W131" s="1"/>
  <c r="U112"/>
  <c r="W112" s="1"/>
  <c r="U244"/>
  <c r="W244" s="1"/>
  <c r="U118"/>
  <c r="W118" s="1"/>
  <c r="U28"/>
  <c r="W28" s="1"/>
  <c r="O26"/>
  <c r="S26" s="1"/>
  <c r="T26" s="1"/>
  <c r="X26" s="1"/>
  <c r="S210"/>
  <c r="T210" s="1"/>
  <c r="X210" s="1"/>
  <c r="O212"/>
  <c r="S212" s="1"/>
  <c r="T212" s="1"/>
  <c r="O150"/>
  <c r="S150" s="1"/>
  <c r="T150" s="1"/>
  <c r="X150" s="1"/>
  <c r="O152"/>
  <c r="S152" s="1"/>
  <c r="T152" s="1"/>
  <c r="X152" s="1"/>
  <c r="O153"/>
  <c r="S153" s="1"/>
  <c r="T153" s="1"/>
  <c r="X153" s="1"/>
  <c r="O155"/>
  <c r="S155" s="1"/>
  <c r="T155" s="1"/>
  <c r="X155" s="1"/>
  <c r="O156"/>
  <c r="S156" s="1"/>
  <c r="T156" s="1"/>
  <c r="X156" s="1"/>
  <c r="S157"/>
  <c r="T157" s="1"/>
  <c r="O158"/>
  <c r="S158" s="1"/>
  <c r="T158" s="1"/>
  <c r="O122"/>
  <c r="S122" s="1"/>
  <c r="T122" s="1"/>
  <c r="O259"/>
  <c r="S259" s="1"/>
  <c r="T259" s="1"/>
  <c r="U200"/>
  <c r="W200" s="1"/>
  <c r="O204"/>
  <c r="S204" s="1"/>
  <c r="T204" s="1"/>
  <c r="X204" s="1"/>
  <c r="O188"/>
  <c r="S188" s="1"/>
  <c r="T188" s="1"/>
  <c r="X188" s="1"/>
  <c r="O191"/>
  <c r="S191" s="1"/>
  <c r="T191" s="1"/>
  <c r="X191" s="1"/>
  <c r="U72"/>
  <c r="W72" s="1"/>
  <c r="U13"/>
  <c r="W13" s="1"/>
  <c r="U15"/>
  <c r="W15" s="1"/>
  <c r="U16"/>
  <c r="W16" s="1"/>
  <c r="U17"/>
  <c r="W17" s="1"/>
  <c r="U19"/>
  <c r="W19" s="1"/>
  <c r="U21"/>
  <c r="W21" s="1"/>
  <c r="U161"/>
  <c r="W161" s="1"/>
  <c r="U144"/>
  <c r="W144" s="1"/>
  <c r="O142"/>
  <c r="S142" s="1"/>
  <c r="T142" s="1"/>
  <c r="X142" s="1"/>
  <c r="U194"/>
  <c r="W194" s="1"/>
  <c r="O213"/>
  <c r="S213" s="1"/>
  <c r="T213" s="1"/>
  <c r="X213" s="1"/>
  <c r="O5"/>
  <c r="S5" s="1"/>
  <c r="T5" s="1"/>
  <c r="X5" s="1"/>
  <c r="O6"/>
  <c r="S6" s="1"/>
  <c r="T6" s="1"/>
  <c r="X6" s="1"/>
  <c r="O169"/>
  <c r="S169" s="1"/>
  <c r="T169" s="1"/>
  <c r="X169" s="1"/>
  <c r="O172"/>
  <c r="S172" s="1"/>
  <c r="T172" s="1"/>
  <c r="O175"/>
  <c r="S175" s="1"/>
  <c r="T175" s="1"/>
  <c r="X175" s="1"/>
  <c r="O176"/>
  <c r="S176" s="1"/>
  <c r="T176" s="1"/>
  <c r="X176" s="1"/>
  <c r="O177"/>
  <c r="S177" s="1"/>
  <c r="T177" s="1"/>
  <c r="O179"/>
  <c r="S179" s="1"/>
  <c r="T179" s="1"/>
  <c r="X179" s="1"/>
  <c r="O53"/>
  <c r="S53" s="1"/>
  <c r="T53" s="1"/>
  <c r="O54"/>
  <c r="S54" s="1"/>
  <c r="T54" s="1"/>
  <c r="X54" s="1"/>
  <c r="O55"/>
  <c r="S55" s="1"/>
  <c r="T55" s="1"/>
  <c r="X55" s="1"/>
  <c r="O57"/>
  <c r="S57" s="1"/>
  <c r="T57" s="1"/>
  <c r="X57" s="1"/>
  <c r="O58"/>
  <c r="S58" s="1"/>
  <c r="T58" s="1"/>
  <c r="X58" s="1"/>
  <c r="U44"/>
  <c r="W44" s="1"/>
  <c r="U45"/>
  <c r="W45" s="1"/>
  <c r="O50"/>
  <c r="S50" s="1"/>
  <c r="T50" s="1"/>
  <c r="X50" s="1"/>
  <c r="O49"/>
  <c r="S49" s="1"/>
  <c r="T49" s="1"/>
  <c r="X49" s="1"/>
  <c r="O51"/>
  <c r="S51" s="1"/>
  <c r="T51" s="1"/>
  <c r="X51" s="1"/>
  <c r="O164"/>
  <c r="S164" s="1"/>
  <c r="T164" s="1"/>
  <c r="O163"/>
  <c r="S163" s="1"/>
  <c r="T163" s="1"/>
  <c r="X163" s="1"/>
  <c r="O166"/>
  <c r="S166" s="1"/>
  <c r="T166" s="1"/>
  <c r="X166" s="1"/>
  <c r="O205"/>
  <c r="S205" s="1"/>
  <c r="T205" s="1"/>
  <c r="O206"/>
  <c r="S206" s="1"/>
  <c r="T206" s="1"/>
  <c r="O208"/>
  <c r="S208" s="1"/>
  <c r="T208" s="1"/>
  <c r="X208" s="1"/>
  <c r="O103"/>
  <c r="S103" s="1"/>
  <c r="T103" s="1"/>
  <c r="X103" s="1"/>
  <c r="O104"/>
  <c r="S104" s="1"/>
  <c r="T104" s="1"/>
  <c r="X104" s="1"/>
  <c r="U186"/>
  <c r="W186" s="1"/>
  <c r="U185"/>
  <c r="W185" s="1"/>
  <c r="U184"/>
  <c r="W184" s="1"/>
  <c r="U73"/>
  <c r="W73" s="1"/>
  <c r="U74"/>
  <c r="W74" s="1"/>
  <c r="U102"/>
  <c r="W102" s="1"/>
  <c r="U146"/>
  <c r="W146" s="1"/>
  <c r="U149"/>
  <c r="W149" s="1"/>
  <c r="U138"/>
  <c r="W138" s="1"/>
  <c r="U127"/>
  <c r="W127" s="1"/>
  <c r="U241"/>
  <c r="W241" s="1"/>
  <c r="U243"/>
  <c r="W243" s="1"/>
  <c r="U121"/>
  <c r="W121" s="1"/>
  <c r="U11"/>
  <c r="W11" s="1"/>
  <c r="U12"/>
  <c r="W12" s="1"/>
  <c r="U35"/>
  <c r="W35" s="1"/>
  <c r="U40"/>
  <c r="W40" s="1"/>
  <c r="O77"/>
  <c r="S77" s="1"/>
  <c r="T77" s="1"/>
  <c r="X77" s="1"/>
  <c r="O218"/>
  <c r="S218" s="1"/>
  <c r="T218" s="1"/>
  <c r="O219"/>
  <c r="S219" s="1"/>
  <c r="T219" s="1"/>
  <c r="O220"/>
  <c r="S220" s="1"/>
  <c r="T220" s="1"/>
  <c r="O227"/>
  <c r="S227" s="1"/>
  <c r="T227" s="1"/>
  <c r="X227" s="1"/>
  <c r="O228"/>
  <c r="S228" s="1"/>
  <c r="T228" s="1"/>
  <c r="X228" s="1"/>
  <c r="O229"/>
  <c r="S229" s="1"/>
  <c r="T229" s="1"/>
  <c r="X229" s="1"/>
  <c r="O232"/>
  <c r="S232" s="1"/>
  <c r="T232" s="1"/>
  <c r="X232" s="1"/>
  <c r="O87"/>
  <c r="S87" s="1"/>
  <c r="T87" s="1"/>
  <c r="U88"/>
  <c r="W88" s="1"/>
  <c r="U89"/>
  <c r="W89" s="1"/>
  <c r="O92"/>
  <c r="S92" s="1"/>
  <c r="T92" s="1"/>
  <c r="X92" s="1"/>
  <c r="O93"/>
  <c r="S93" s="1"/>
  <c r="T93" s="1"/>
  <c r="X93" s="1"/>
  <c r="O94"/>
  <c r="S94" s="1"/>
  <c r="T94" s="1"/>
  <c r="X94" s="1"/>
  <c r="O95"/>
  <c r="S95" s="1"/>
  <c r="T95" s="1"/>
  <c r="X95" s="1"/>
  <c r="O98"/>
  <c r="S98" s="1"/>
  <c r="T98" s="1"/>
  <c r="X98" s="1"/>
  <c r="U99"/>
  <c r="W99" s="1"/>
  <c r="U137"/>
  <c r="W137" s="1"/>
  <c r="U106"/>
  <c r="W106" s="1"/>
  <c r="S128"/>
  <c r="T128" s="1"/>
  <c r="X128" s="1"/>
  <c r="U130"/>
  <c r="W130" s="1"/>
  <c r="S132"/>
  <c r="T132" s="1"/>
  <c r="X132" s="1"/>
  <c r="S133"/>
  <c r="T133" s="1"/>
  <c r="X133" s="1"/>
  <c r="U134"/>
  <c r="W134" s="1"/>
  <c r="U135"/>
  <c r="W135" s="1"/>
  <c r="U136"/>
  <c r="W136" s="1"/>
  <c r="U261"/>
  <c r="W261" s="1"/>
  <c r="S113"/>
  <c r="T113" s="1"/>
  <c r="X113" s="1"/>
  <c r="U114"/>
  <c r="W114" s="1"/>
  <c r="U115"/>
  <c r="W115" s="1"/>
  <c r="U242"/>
  <c r="W242" s="1"/>
  <c r="S119"/>
  <c r="T119" s="1"/>
  <c r="X119" s="1"/>
  <c r="S120"/>
  <c r="T120" s="1"/>
  <c r="X120" s="1"/>
  <c r="S9"/>
  <c r="T9" s="1"/>
  <c r="S10"/>
  <c r="T10" s="1"/>
  <c r="S30"/>
  <c r="T30" s="1"/>
  <c r="X30" s="1"/>
  <c r="S32"/>
  <c r="T32" s="1"/>
  <c r="X32" s="1"/>
  <c r="S36"/>
  <c r="T36" s="1"/>
  <c r="S37"/>
  <c r="T37" s="1"/>
  <c r="X37" s="1"/>
  <c r="S38"/>
  <c r="T38" s="1"/>
  <c r="X38" s="1"/>
  <c r="U39"/>
  <c r="W39" s="1"/>
  <c r="U234"/>
  <c r="W234" s="1"/>
  <c r="O231"/>
  <c r="S231" s="1"/>
  <c r="T231" s="1"/>
  <c r="X231" s="1"/>
  <c r="S79"/>
  <c r="T79" s="1"/>
  <c r="X79" s="1"/>
  <c r="S80"/>
  <c r="T80" s="1"/>
  <c r="X80" s="1"/>
  <c r="O81"/>
  <c r="S81" s="1"/>
  <c r="T81" s="1"/>
  <c r="O85"/>
  <c r="S85" s="1"/>
  <c r="T85" s="1"/>
  <c r="O86"/>
  <c r="S86" s="1"/>
  <c r="T86" s="1"/>
  <c r="O90"/>
  <c r="S90" s="1"/>
  <c r="T90" s="1"/>
  <c r="O91"/>
  <c r="S91" s="1"/>
  <c r="T91" s="1"/>
  <c r="O96"/>
  <c r="S96" s="1"/>
  <c r="T96" s="1"/>
  <c r="O100"/>
  <c r="S100" s="1"/>
  <c r="T100" s="1"/>
  <c r="X100" s="1"/>
  <c r="O101"/>
  <c r="S101" s="1"/>
  <c r="T101" s="1"/>
  <c r="X101" s="1"/>
  <c r="S260"/>
  <c r="T260" s="1"/>
  <c r="X260" s="1"/>
  <c r="S262"/>
  <c r="T262" s="1"/>
  <c r="X262" s="1"/>
  <c r="S263"/>
  <c r="T263" s="1"/>
  <c r="X263" s="1"/>
  <c r="S245"/>
  <c r="T245" s="1"/>
  <c r="S246"/>
  <c r="T246" s="1"/>
  <c r="X246" s="1"/>
  <c r="S29"/>
  <c r="T29" s="1"/>
  <c r="S31"/>
  <c r="T31" s="1"/>
  <c r="X31" s="1"/>
  <c r="S33"/>
  <c r="T33" s="1"/>
  <c r="X33" s="1"/>
  <c r="S34"/>
  <c r="T34" s="1"/>
  <c r="X34" s="1"/>
  <c r="S233"/>
  <c r="T233" s="1"/>
  <c r="X24" l="1"/>
  <c r="Z24"/>
  <c r="AA24" s="1"/>
  <c r="X81"/>
  <c r="Z81"/>
  <c r="AA81" s="1"/>
  <c r="X218"/>
  <c r="Z218"/>
  <c r="AA218" s="1"/>
  <c r="X205"/>
  <c r="Z205"/>
  <c r="AA205" s="1"/>
  <c r="X158"/>
  <c r="Z158"/>
  <c r="AA158" s="1"/>
  <c r="X223"/>
  <c r="Z223"/>
  <c r="AA223" s="1"/>
  <c r="X178"/>
  <c r="Z178"/>
  <c r="AA178" s="1"/>
  <c r="X64"/>
  <c r="Z64"/>
  <c r="AA64" s="1"/>
  <c r="X209"/>
  <c r="Z209"/>
  <c r="AA209" s="1"/>
  <c r="X9"/>
  <c r="Z9"/>
  <c r="AA9" s="1"/>
  <c r="X245"/>
  <c r="Z245"/>
  <c r="AA245" s="1"/>
  <c r="X85"/>
  <c r="Z85"/>
  <c r="AA85" s="1"/>
  <c r="X10"/>
  <c r="Z10"/>
  <c r="AA10" s="1"/>
  <c r="X87"/>
  <c r="Z87"/>
  <c r="AA87" s="1"/>
  <c r="X219"/>
  <c r="Z219"/>
  <c r="AA219" s="1"/>
  <c r="X206"/>
  <c r="Z206"/>
  <c r="AA206" s="1"/>
  <c r="X164"/>
  <c r="Z164"/>
  <c r="AA164" s="1"/>
  <c r="X177"/>
  <c r="Z177"/>
  <c r="AA177" s="1"/>
  <c r="X224"/>
  <c r="Z224"/>
  <c r="AA224" s="1"/>
  <c r="X62"/>
  <c r="Z62"/>
  <c r="AA62" s="1"/>
  <c r="X126"/>
  <c r="Z126"/>
  <c r="AA126" s="1"/>
  <c r="X91"/>
  <c r="Z91"/>
  <c r="AA91" s="1"/>
  <c r="X86"/>
  <c r="Z86"/>
  <c r="AA86" s="1"/>
  <c r="X220"/>
  <c r="Z220"/>
  <c r="AA220" s="1"/>
  <c r="X259"/>
  <c r="Z259"/>
  <c r="AA259" s="1"/>
  <c r="X225"/>
  <c r="Z225"/>
  <c r="AA225" s="1"/>
  <c r="Z217"/>
  <c r="AA217" s="1"/>
  <c r="X181"/>
  <c r="Z181"/>
  <c r="AA181" s="1"/>
  <c r="X63"/>
  <c r="Z63"/>
  <c r="AA63" s="1"/>
  <c r="X90"/>
  <c r="Z90"/>
  <c r="AA90" s="1"/>
  <c r="X157"/>
  <c r="Z157"/>
  <c r="AA157" s="1"/>
  <c r="X226"/>
  <c r="Z226"/>
  <c r="AA226" s="1"/>
  <c r="X222"/>
  <c r="Z222"/>
  <c r="AA222" s="1"/>
  <c r="X110"/>
  <c r="Z110"/>
  <c r="AA110" s="1"/>
  <c r="X65"/>
  <c r="Z65"/>
  <c r="AA65" s="1"/>
  <c r="X122"/>
  <c r="X53"/>
  <c r="V76"/>
  <c r="W76"/>
  <c r="T239"/>
  <c r="X239" s="1"/>
  <c r="X257"/>
  <c r="X212"/>
  <c r="T247"/>
  <c r="X233"/>
  <c r="X36"/>
  <c r="X96"/>
  <c r="X29"/>
  <c r="X66"/>
  <c r="X27"/>
  <c r="X172"/>
  <c r="U233"/>
  <c r="W233" s="1"/>
  <c r="U34"/>
  <c r="W34" s="1"/>
  <c r="U31"/>
  <c r="W31" s="1"/>
  <c r="U246"/>
  <c r="W246" s="1"/>
  <c r="U263"/>
  <c r="W263" s="1"/>
  <c r="U260"/>
  <c r="W260" s="1"/>
  <c r="U100"/>
  <c r="W100" s="1"/>
  <c r="U91"/>
  <c r="W91" s="1"/>
  <c r="U86"/>
  <c r="W86" s="1"/>
  <c r="U81"/>
  <c r="W81" s="1"/>
  <c r="U79"/>
  <c r="W79" s="1"/>
  <c r="U231"/>
  <c r="W231" s="1"/>
  <c r="V234"/>
  <c r="V39"/>
  <c r="U37"/>
  <c r="W37" s="1"/>
  <c r="U30"/>
  <c r="W30" s="1"/>
  <c r="U9"/>
  <c r="W9" s="1"/>
  <c r="U119"/>
  <c r="W119" s="1"/>
  <c r="U113"/>
  <c r="W113" s="1"/>
  <c r="V261"/>
  <c r="U133"/>
  <c r="W133" s="1"/>
  <c r="V106"/>
  <c r="V137"/>
  <c r="V99"/>
  <c r="U95"/>
  <c r="W95" s="1"/>
  <c r="U93"/>
  <c r="W93" s="1"/>
  <c r="V89"/>
  <c r="V88"/>
  <c r="U232"/>
  <c r="W232" s="1"/>
  <c r="U228"/>
  <c r="W228" s="1"/>
  <c r="U219"/>
  <c r="W219" s="1"/>
  <c r="U77"/>
  <c r="W77" s="1"/>
  <c r="V35"/>
  <c r="V12"/>
  <c r="V11"/>
  <c r="V243"/>
  <c r="V149"/>
  <c r="V74"/>
  <c r="V73"/>
  <c r="V185"/>
  <c r="V186"/>
  <c r="U103"/>
  <c r="W103" s="1"/>
  <c r="U206"/>
  <c r="W206" s="1"/>
  <c r="U163"/>
  <c r="W163" s="1"/>
  <c r="U51"/>
  <c r="W51" s="1"/>
  <c r="U50"/>
  <c r="W50" s="1"/>
  <c r="V44"/>
  <c r="U58"/>
  <c r="W58" s="1"/>
  <c r="U54"/>
  <c r="W54" s="1"/>
  <c r="U177"/>
  <c r="W177" s="1"/>
  <c r="U175"/>
  <c r="W175" s="1"/>
  <c r="U169"/>
  <c r="W169" s="1"/>
  <c r="U5"/>
  <c r="W5" s="1"/>
  <c r="V194"/>
  <c r="U142"/>
  <c r="W142" s="1"/>
  <c r="V13"/>
  <c r="V72"/>
  <c r="U191"/>
  <c r="W191" s="1"/>
  <c r="U122"/>
  <c r="W122" s="1"/>
  <c r="U157"/>
  <c r="W157" s="1"/>
  <c r="U155"/>
  <c r="W155" s="1"/>
  <c r="U152"/>
  <c r="W152" s="1"/>
  <c r="U212"/>
  <c r="W212" s="1"/>
  <c r="U26"/>
  <c r="W26" s="1"/>
  <c r="V28"/>
  <c r="V118"/>
  <c r="V112"/>
  <c r="V131"/>
  <c r="V129"/>
  <c r="V107"/>
  <c r="V148"/>
  <c r="V147"/>
  <c r="V97"/>
  <c r="U226"/>
  <c r="W226" s="1"/>
  <c r="U224"/>
  <c r="W224" s="1"/>
  <c r="U222"/>
  <c r="W222" s="1"/>
  <c r="U216"/>
  <c r="W216" s="1"/>
  <c r="U182"/>
  <c r="W182" s="1"/>
  <c r="U105"/>
  <c r="W105" s="1"/>
  <c r="U165"/>
  <c r="W165" s="1"/>
  <c r="O48"/>
  <c r="S48" s="1"/>
  <c r="T48" s="1"/>
  <c r="X48" s="1"/>
  <c r="U174"/>
  <c r="W174" s="1"/>
  <c r="U171"/>
  <c r="W171" s="1"/>
  <c r="U190"/>
  <c r="W190" s="1"/>
  <c r="U189"/>
  <c r="W189" s="1"/>
  <c r="U109"/>
  <c r="W109" s="1"/>
  <c r="U42"/>
  <c r="W42" s="1"/>
  <c r="U240"/>
  <c r="W240" s="1"/>
  <c r="U238"/>
  <c r="W238" s="1"/>
  <c r="U236"/>
  <c r="W236" s="1"/>
  <c r="U249"/>
  <c r="W249" s="1"/>
  <c r="U66"/>
  <c r="W66" s="1"/>
  <c r="U65"/>
  <c r="W65" s="1"/>
  <c r="U62"/>
  <c r="W62" s="1"/>
  <c r="U154"/>
  <c r="W154" s="1"/>
  <c r="U211"/>
  <c r="W211" s="1"/>
  <c r="U25"/>
  <c r="W25" s="1"/>
  <c r="V75"/>
  <c r="V193"/>
  <c r="V71"/>
  <c r="U256"/>
  <c r="W256" s="1"/>
  <c r="U123"/>
  <c r="W123" s="1"/>
  <c r="U197"/>
  <c r="W197" s="1"/>
  <c r="V168"/>
  <c r="V47"/>
  <c r="V162"/>
  <c r="V187"/>
  <c r="V199"/>
  <c r="V125"/>
  <c r="S235"/>
  <c r="T235" s="1"/>
  <c r="X235" s="1"/>
  <c r="U33"/>
  <c r="W33" s="1"/>
  <c r="U29"/>
  <c r="W29" s="1"/>
  <c r="U245"/>
  <c r="W245" s="1"/>
  <c r="U262"/>
  <c r="W262" s="1"/>
  <c r="U101"/>
  <c r="W101" s="1"/>
  <c r="U96"/>
  <c r="W96" s="1"/>
  <c r="U90"/>
  <c r="W90" s="1"/>
  <c r="U85"/>
  <c r="W85" s="1"/>
  <c r="U80"/>
  <c r="W80" s="1"/>
  <c r="U38"/>
  <c r="W38" s="1"/>
  <c r="U36"/>
  <c r="W36" s="1"/>
  <c r="U32"/>
  <c r="W32" s="1"/>
  <c r="U10"/>
  <c r="W10" s="1"/>
  <c r="U120"/>
  <c r="W120" s="1"/>
  <c r="V242"/>
  <c r="V115"/>
  <c r="V114"/>
  <c r="V136"/>
  <c r="V135"/>
  <c r="V134"/>
  <c r="U132"/>
  <c r="W132" s="1"/>
  <c r="V130"/>
  <c r="U128"/>
  <c r="W128" s="1"/>
  <c r="U98"/>
  <c r="W98" s="1"/>
  <c r="U94"/>
  <c r="W94" s="1"/>
  <c r="U92"/>
  <c r="W92" s="1"/>
  <c r="U87"/>
  <c r="W87" s="1"/>
  <c r="U229"/>
  <c r="W229" s="1"/>
  <c r="U227"/>
  <c r="W227" s="1"/>
  <c r="U220"/>
  <c r="W220" s="1"/>
  <c r="U218"/>
  <c r="W218" s="1"/>
  <c r="V40"/>
  <c r="V121"/>
  <c r="V241"/>
  <c r="V127"/>
  <c r="V138"/>
  <c r="V146"/>
  <c r="V102"/>
  <c r="V184"/>
  <c r="U104"/>
  <c r="W104" s="1"/>
  <c r="U208"/>
  <c r="W208" s="1"/>
  <c r="U205"/>
  <c r="W205" s="1"/>
  <c r="U166"/>
  <c r="W166" s="1"/>
  <c r="U164"/>
  <c r="W164" s="1"/>
  <c r="U49"/>
  <c r="W49" s="1"/>
  <c r="V45"/>
  <c r="U57"/>
  <c r="W57" s="1"/>
  <c r="U55"/>
  <c r="W55" s="1"/>
  <c r="U53"/>
  <c r="W53" s="1"/>
  <c r="U179"/>
  <c r="W179" s="1"/>
  <c r="U176"/>
  <c r="W176" s="1"/>
  <c r="U172"/>
  <c r="W172" s="1"/>
  <c r="U6"/>
  <c r="W6" s="1"/>
  <c r="U213"/>
  <c r="W213" s="1"/>
  <c r="V144"/>
  <c r="V161"/>
  <c r="V21"/>
  <c r="V19"/>
  <c r="V17"/>
  <c r="V16"/>
  <c r="V15"/>
  <c r="U188"/>
  <c r="W188" s="1"/>
  <c r="U204"/>
  <c r="W204" s="1"/>
  <c r="V200"/>
  <c r="U259"/>
  <c r="W259" s="1"/>
  <c r="U158"/>
  <c r="W158" s="1"/>
  <c r="U156"/>
  <c r="W156" s="1"/>
  <c r="U153"/>
  <c r="W153" s="1"/>
  <c r="U150"/>
  <c r="W150" s="1"/>
  <c r="U210"/>
  <c r="W210" s="1"/>
  <c r="V244"/>
  <c r="V139"/>
  <c r="U225"/>
  <c r="W225" s="1"/>
  <c r="U223"/>
  <c r="W223" s="1"/>
  <c r="U217"/>
  <c r="W217" s="1"/>
  <c r="V78"/>
  <c r="U181"/>
  <c r="W181" s="1"/>
  <c r="U167"/>
  <c r="W167" s="1"/>
  <c r="U178"/>
  <c r="W178" s="1"/>
  <c r="U173"/>
  <c r="W173" s="1"/>
  <c r="U214"/>
  <c r="W214" s="1"/>
  <c r="U110"/>
  <c r="W110" s="1"/>
  <c r="U43"/>
  <c r="W43" s="1"/>
  <c r="U41"/>
  <c r="W41" s="1"/>
  <c r="U237"/>
  <c r="W237" s="1"/>
  <c r="U255"/>
  <c r="W255" s="1"/>
  <c r="U27"/>
  <c r="W27" s="1"/>
  <c r="U64"/>
  <c r="W64" s="1"/>
  <c r="U63"/>
  <c r="W63" s="1"/>
  <c r="U61"/>
  <c r="W61" s="1"/>
  <c r="U151"/>
  <c r="W151" s="1"/>
  <c r="U209"/>
  <c r="W209" s="1"/>
  <c r="U24"/>
  <c r="W24" s="1"/>
  <c r="V46"/>
  <c r="V192"/>
  <c r="V145"/>
  <c r="V14"/>
  <c r="V203"/>
  <c r="V202"/>
  <c r="V201"/>
  <c r="V111"/>
  <c r="U253"/>
  <c r="W253" s="1"/>
  <c r="U251"/>
  <c r="W251" s="1"/>
  <c r="U248"/>
  <c r="W248" s="1"/>
  <c r="U69"/>
  <c r="W69" s="1"/>
  <c r="U70"/>
  <c r="W70" s="1"/>
  <c r="V258"/>
  <c r="V124"/>
  <c r="V221"/>
  <c r="V183"/>
  <c r="V60"/>
  <c r="V59"/>
  <c r="V170"/>
  <c r="V22"/>
  <c r="V20"/>
  <c r="V18"/>
  <c r="U254"/>
  <c r="W254" s="1"/>
  <c r="U252"/>
  <c r="W252" s="1"/>
  <c r="U250"/>
  <c r="W250" s="1"/>
  <c r="U141"/>
  <c r="W141" s="1"/>
  <c r="U140"/>
  <c r="W140" s="1"/>
  <c r="U257"/>
  <c r="W257" s="1"/>
  <c r="U198"/>
  <c r="W198" s="1"/>
  <c r="U196"/>
  <c r="W196" s="1"/>
  <c r="U126"/>
  <c r="W126" s="1"/>
  <c r="V67"/>
  <c r="U239" l="1"/>
  <c r="U247"/>
  <c r="W247" s="1"/>
  <c r="X247"/>
  <c r="V126"/>
  <c r="V198"/>
  <c r="V257"/>
  <c r="V250"/>
  <c r="V252"/>
  <c r="V254"/>
  <c r="V69"/>
  <c r="V253"/>
  <c r="V24"/>
  <c r="V255"/>
  <c r="V41"/>
  <c r="V214"/>
  <c r="V167"/>
  <c r="V181"/>
  <c r="V217"/>
  <c r="V210"/>
  <c r="V150"/>
  <c r="V153"/>
  <c r="V156"/>
  <c r="V158"/>
  <c r="V259"/>
  <c r="V213"/>
  <c r="V6"/>
  <c r="V172"/>
  <c r="V55"/>
  <c r="V205"/>
  <c r="V208"/>
  <c r="V104"/>
  <c r="V218"/>
  <c r="V220"/>
  <c r="V87"/>
  <c r="V92"/>
  <c r="V94"/>
  <c r="V132"/>
  <c r="V120"/>
  <c r="V32"/>
  <c r="V80"/>
  <c r="V85"/>
  <c r="V90"/>
  <c r="V96"/>
  <c r="V101"/>
  <c r="V245"/>
  <c r="U235"/>
  <c r="W235" s="1"/>
  <c r="V25"/>
  <c r="V62"/>
  <c r="V65"/>
  <c r="V66"/>
  <c r="V249"/>
  <c r="V240"/>
  <c r="V189"/>
  <c r="V190"/>
  <c r="V171"/>
  <c r="V174"/>
  <c r="U48"/>
  <c r="W48" s="1"/>
  <c r="V105"/>
  <c r="V182"/>
  <c r="V216"/>
  <c r="V226"/>
  <c r="V26"/>
  <c r="V212"/>
  <c r="V155"/>
  <c r="V142"/>
  <c r="V169"/>
  <c r="V175"/>
  <c r="V177"/>
  <c r="V58"/>
  <c r="V50"/>
  <c r="V51"/>
  <c r="V163"/>
  <c r="V206"/>
  <c r="V103"/>
  <c r="V77"/>
  <c r="V219"/>
  <c r="V228"/>
  <c r="V232"/>
  <c r="V133"/>
  <c r="V113"/>
  <c r="V79"/>
  <c r="V81"/>
  <c r="V86"/>
  <c r="V246"/>
  <c r="V34"/>
  <c r="V233"/>
  <c r="V196"/>
  <c r="V140"/>
  <c r="V141"/>
  <c r="V70"/>
  <c r="V248"/>
  <c r="V251"/>
  <c r="V209"/>
  <c r="V151"/>
  <c r="V61"/>
  <c r="V63"/>
  <c r="V64"/>
  <c r="V27"/>
  <c r="V237"/>
  <c r="V43"/>
  <c r="V110"/>
  <c r="V173"/>
  <c r="V178"/>
  <c r="V223"/>
  <c r="V225"/>
  <c r="V204"/>
  <c r="V188"/>
  <c r="V176"/>
  <c r="V179"/>
  <c r="V53"/>
  <c r="V57"/>
  <c r="V49"/>
  <c r="V164"/>
  <c r="V166"/>
  <c r="V227"/>
  <c r="V229"/>
  <c r="V98"/>
  <c r="V128"/>
  <c r="V10"/>
  <c r="V36"/>
  <c r="V38"/>
  <c r="V262"/>
  <c r="V29"/>
  <c r="V33"/>
  <c r="V197"/>
  <c r="V123"/>
  <c r="V256"/>
  <c r="V211"/>
  <c r="V154"/>
  <c r="V236"/>
  <c r="V238"/>
  <c r="V42"/>
  <c r="V109"/>
  <c r="V165"/>
  <c r="V222"/>
  <c r="V224"/>
  <c r="V152"/>
  <c r="V157"/>
  <c r="V122"/>
  <c r="V191"/>
  <c r="V5"/>
  <c r="V54"/>
  <c r="V93"/>
  <c r="V95"/>
  <c r="V119"/>
  <c r="V9"/>
  <c r="V30"/>
  <c r="V37"/>
  <c r="V231"/>
  <c r="V91"/>
  <c r="V100"/>
  <c r="V260"/>
  <c r="V263"/>
  <c r="V31"/>
  <c r="V239" l="1"/>
  <c r="W239"/>
  <c r="V247"/>
  <c r="V48"/>
  <c r="V235"/>
  <c r="K23" l="1"/>
  <c r="O23"/>
  <c r="S23" l="1"/>
  <c r="T23" s="1"/>
  <c r="U23" l="1"/>
  <c r="V23" s="1"/>
  <c r="X23"/>
  <c r="M195"/>
  <c r="W23" l="1"/>
  <c r="K195"/>
  <c r="K265" s="1"/>
  <c r="M265"/>
  <c r="O195"/>
  <c r="O265" s="1"/>
  <c r="S195" l="1"/>
  <c r="T195" s="1"/>
  <c r="U195" l="1"/>
  <c r="W195" s="1"/>
  <c r="X195"/>
  <c r="V195" l="1"/>
  <c r="X2"/>
</calcChain>
</file>

<file path=xl/sharedStrings.xml><?xml version="1.0" encoding="utf-8"?>
<sst xmlns="http://schemas.openxmlformats.org/spreadsheetml/2006/main" count="1825" uniqueCount="487">
  <si>
    <t>PENYUSUNAN HPP INFICLO 2018</t>
  </si>
  <si>
    <t>HARGA JUAL</t>
  </si>
  <si>
    <t>No</t>
  </si>
  <si>
    <t>Kode</t>
  </si>
  <si>
    <t>Check 1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</si>
  <si>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</si>
  <si>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</si>
  <si>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</si>
  <si>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</si>
  <si>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</si>
  <si>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</si>
  <si>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</si>
  <si>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</si>
  <si>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</si>
  <si>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</si>
  <si>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</si>
  <si>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</si>
  <si>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</si>
  <si>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</si>
  <si>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</si>
  <si>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</si>
  <si>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</si>
  <si>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</si>
  <si>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Net</t>
  </si>
  <si>
    <t>Gross</t>
  </si>
  <si>
    <t>SKL 899</t>
  </si>
  <si>
    <t>SGB 368</t>
  </si>
  <si>
    <t>SGB 432</t>
  </si>
  <si>
    <t>SKL 923</t>
  </si>
  <si>
    <t>INF - Ce - Jaket - Parasit</t>
  </si>
  <si>
    <t>SRO 615</t>
  </si>
  <si>
    <t>INF - Ce - Jaket - Fleece</t>
  </si>
  <si>
    <t>SRO 603</t>
  </si>
  <si>
    <t>INF - Ce - Jaket - Jeans</t>
  </si>
  <si>
    <t>SMD 142</t>
  </si>
  <si>
    <t>INF - Ce - Celana - Jeans</t>
  </si>
  <si>
    <t>SDK 258</t>
  </si>
  <si>
    <t>SDK 317</t>
  </si>
  <si>
    <t>SMD 222</t>
  </si>
  <si>
    <t>SDR 653</t>
  </si>
  <si>
    <t>INF - Co - Jaket - Rajut</t>
  </si>
  <si>
    <t>SMD 658</t>
  </si>
  <si>
    <t>INF - Co - Jaket - Fleece</t>
  </si>
  <si>
    <t>INF - Co - Jaket - Parasit</t>
  </si>
  <si>
    <t>SMD 722</t>
  </si>
  <si>
    <t>SIP 809</t>
  </si>
  <si>
    <t>INF - Co - Jaket - Diadora</t>
  </si>
  <si>
    <t>SMD 431</t>
  </si>
  <si>
    <t>SDN 758</t>
  </si>
  <si>
    <t>INF - Co - Jaket - Jeans</t>
  </si>
  <si>
    <t>SZK 679</t>
  </si>
  <si>
    <t>INF - Ce - Tas Wanita</t>
  </si>
  <si>
    <t>SKS 690</t>
  </si>
  <si>
    <t>SRI 697</t>
  </si>
  <si>
    <t>SKS 318</t>
  </si>
  <si>
    <t>SRM 194</t>
  </si>
  <si>
    <t>SRI 126</t>
  </si>
  <si>
    <t>SFR 605</t>
  </si>
  <si>
    <t>SFR 348</t>
  </si>
  <si>
    <t>SFR 840</t>
  </si>
  <si>
    <t>INF - Ce - Dompet</t>
  </si>
  <si>
    <t>SII 468</t>
  </si>
  <si>
    <t>SPT 805</t>
  </si>
  <si>
    <t>SPT 397</t>
  </si>
  <si>
    <t>SPT 993</t>
  </si>
  <si>
    <t>SPT 242</t>
  </si>
  <si>
    <t>SVN 014</t>
  </si>
  <si>
    <t>SLN 192</t>
  </si>
  <si>
    <t>SMB 611</t>
  </si>
  <si>
    <t>SFS 973</t>
  </si>
  <si>
    <t>SGT 472</t>
  </si>
  <si>
    <t>SOK 777</t>
  </si>
  <si>
    <t>SOK 786</t>
  </si>
  <si>
    <t>SZK 229</t>
  </si>
  <si>
    <t>STJ 974</t>
  </si>
  <si>
    <t>SPV 215</t>
  </si>
  <si>
    <t>SPV 243</t>
  </si>
  <si>
    <t>Cek Harga HPP</t>
  </si>
  <si>
    <t>Cek Aksesoris</t>
  </si>
  <si>
    <t>Cek Average</t>
  </si>
  <si>
    <t>Cek %</t>
  </si>
  <si>
    <t>Kode RND</t>
  </si>
  <si>
    <t>SFT 716</t>
  </si>
  <si>
    <t>SGB 876</t>
  </si>
  <si>
    <t>SGB 636</t>
  </si>
  <si>
    <t>SMD 373</t>
  </si>
  <si>
    <t>SMD 442</t>
  </si>
  <si>
    <t>SMD 153</t>
  </si>
  <si>
    <t>SMD 265</t>
  </si>
  <si>
    <t>SIP 381</t>
  </si>
  <si>
    <t>SRO 467</t>
  </si>
  <si>
    <t>SMD 822</t>
  </si>
  <si>
    <t>SDR 900</t>
  </si>
  <si>
    <t>SZK 205</t>
  </si>
  <si>
    <t>SMI 401</t>
  </si>
  <si>
    <t>SSP 878</t>
  </si>
  <si>
    <t>SLX 853</t>
  </si>
  <si>
    <t>SRI 252</t>
  </si>
  <si>
    <t>SRM 713</t>
  </si>
  <si>
    <t>SRI 546</t>
  </si>
  <si>
    <t>SRI 449</t>
  </si>
  <si>
    <t>SBD 695</t>
  </si>
  <si>
    <t>SBL 016</t>
  </si>
  <si>
    <t>SAM 392</t>
  </si>
  <si>
    <t>SOR 979</t>
  </si>
  <si>
    <t>SFS 184</t>
  </si>
  <si>
    <t>SPT 123</t>
  </si>
  <si>
    <t>SII 578</t>
  </si>
  <si>
    <t>SZK 976</t>
  </si>
  <si>
    <t>SSN 117</t>
  </si>
  <si>
    <t>SPV 119</t>
  </si>
  <si>
    <t>SPV 311</t>
  </si>
  <si>
    <t>SPV 262</t>
  </si>
  <si>
    <t>SPV 491</t>
  </si>
  <si>
    <t>Catt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</si>
  <si>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</si>
  <si>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</si>
  <si>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</si>
  <si>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</si>
  <si>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</si>
  <si>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</si>
  <si>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</si>
  <si>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</si>
  <si>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SLX 249</t>
  </si>
  <si>
    <t>SLX 967</t>
  </si>
  <si>
    <t>SLX 961</t>
  </si>
  <si>
    <t>SLX 326</t>
  </si>
  <si>
    <t>STJ 253</t>
  </si>
  <si>
    <t>STJ 191</t>
  </si>
  <si>
    <t>STJ 379</t>
  </si>
  <si>
    <t>SIP 478</t>
  </si>
  <si>
    <t>SIP 358</t>
  </si>
  <si>
    <t>SIP 892</t>
  </si>
  <si>
    <t>SIP 947</t>
  </si>
  <si>
    <t>SIP 718</t>
  </si>
  <si>
    <t>SIP 742</t>
  </si>
  <si>
    <t>SIP 929</t>
  </si>
  <si>
    <t>SFS 493</t>
  </si>
  <si>
    <t>SFS 688</t>
  </si>
  <si>
    <t>SFS 590</t>
  </si>
  <si>
    <t>SSO 207</t>
  </si>
  <si>
    <t>SSO 913</t>
  </si>
  <si>
    <t>SSO 949</t>
  </si>
  <si>
    <t>SSO 403</t>
  </si>
  <si>
    <t>SMB 187</t>
  </si>
  <si>
    <t>SMB 763</t>
  </si>
  <si>
    <t>SPT 580</t>
  </si>
  <si>
    <t>SPT 699</t>
  </si>
  <si>
    <t>SPT 764</t>
  </si>
  <si>
    <t>SPT 360</t>
  </si>
  <si>
    <t>SPT 770</t>
  </si>
  <si>
    <t>SHY 426</t>
  </si>
  <si>
    <t>SHY 139</t>
  </si>
  <si>
    <t>STV 773</t>
  </si>
  <si>
    <t>STV 460</t>
  </si>
  <si>
    <t>STV 575</t>
  </si>
  <si>
    <t>STV 755</t>
  </si>
  <si>
    <t>STV 673</t>
  </si>
  <si>
    <t>STV 801</t>
  </si>
  <si>
    <t>STV 406</t>
  </si>
  <si>
    <t>STV 914</t>
  </si>
  <si>
    <t>STV 131</t>
  </si>
  <si>
    <t>SMU 946</t>
  </si>
  <si>
    <t>SMU 418</t>
  </si>
  <si>
    <t>SMU 585</t>
  </si>
  <si>
    <t>SMU 354</t>
  </si>
  <si>
    <t>SMU 122</t>
  </si>
  <si>
    <t>STU 685</t>
  </si>
  <si>
    <t>STU 598</t>
  </si>
  <si>
    <t>STU 230</t>
  </si>
  <si>
    <t>SDN 570</t>
  </si>
  <si>
    <t>SDN 838</t>
  </si>
  <si>
    <t>SGT 985</t>
  </si>
  <si>
    <t>SGT 935</t>
  </si>
  <si>
    <t>SGT 783</t>
  </si>
  <si>
    <t>SGT 687</t>
  </si>
  <si>
    <t>SGT 743</t>
  </si>
  <si>
    <t>SMA 938</t>
  </si>
  <si>
    <t>SMA 794</t>
  </si>
  <si>
    <t>SMA 170</t>
  </si>
  <si>
    <t>SMA 305</t>
  </si>
  <si>
    <t>SMA 928</t>
  </si>
  <si>
    <t>SCC 540</t>
  </si>
  <si>
    <t>SCC 498</t>
  </si>
  <si>
    <t>SGB 316</t>
  </si>
  <si>
    <t>SGB 446</t>
  </si>
  <si>
    <t>SGB 517</t>
  </si>
  <si>
    <t>SGB 562</t>
  </si>
  <si>
    <t>SGB 333</t>
  </si>
  <si>
    <t>SGB 435</t>
  </si>
  <si>
    <t>SFT 720</t>
  </si>
  <si>
    <t>SFT 766</t>
  </si>
  <si>
    <t>SRF 336</t>
  </si>
  <si>
    <t>SRF 987</t>
  </si>
  <si>
    <t>SHM 681</t>
  </si>
  <si>
    <t>SHM 295</t>
  </si>
  <si>
    <t>SHM 528</t>
  </si>
  <si>
    <t>STT 174</t>
  </si>
  <si>
    <t>STT 224</t>
  </si>
  <si>
    <t>SJO 916</t>
  </si>
  <si>
    <t>SJO 996</t>
  </si>
  <si>
    <t>SJU 950</t>
  </si>
  <si>
    <t>SJU 319</t>
  </si>
  <si>
    <t>SJU 807</t>
  </si>
  <si>
    <t>SJU 113</t>
  </si>
  <si>
    <t>SJU 226</t>
  </si>
  <si>
    <t>SJU 849</t>
  </si>
  <si>
    <t>SKL 573</t>
  </si>
  <si>
    <t>SKL 902</t>
  </si>
  <si>
    <t>SKL 666</t>
  </si>
  <si>
    <t>SLN 454</t>
  </si>
  <si>
    <t>SLN 710</t>
  </si>
  <si>
    <t>SLN 665</t>
  </si>
  <si>
    <t>SLN 599</t>
  </si>
  <si>
    <t>SLN 564</t>
  </si>
  <si>
    <t>SLN 719</t>
  </si>
  <si>
    <t>SLN 857</t>
  </si>
  <si>
    <t>SRO 469</t>
  </si>
  <si>
    <t>SRO 589</t>
  </si>
  <si>
    <t>SRO 992</t>
  </si>
  <si>
    <t>SRO 606</t>
  </si>
  <si>
    <t>SMI 579</t>
  </si>
  <si>
    <t>SMI 588</t>
  </si>
  <si>
    <t>SMI 405</t>
  </si>
  <si>
    <t>SMI 704</t>
  </si>
  <si>
    <t>SMI 835</t>
  </si>
  <si>
    <t>SDK 201</t>
  </si>
  <si>
    <t>STG 990</t>
  </si>
  <si>
    <t>STG 208</t>
  </si>
  <si>
    <t>STG 487</t>
  </si>
  <si>
    <t>SOK 308</t>
  </si>
  <si>
    <t>SOK 363</t>
  </si>
  <si>
    <t>SOK 804</t>
  </si>
  <si>
    <t>SOK 458</t>
  </si>
  <si>
    <t>SDR 211</t>
  </si>
  <si>
    <t>SDR 299</t>
  </si>
  <si>
    <t>SDR 388</t>
  </si>
  <si>
    <t>SDR 823</t>
  </si>
  <si>
    <t>SRI 565</t>
  </si>
  <si>
    <t>SRI 648</t>
  </si>
  <si>
    <t>SRI 163</t>
  </si>
  <si>
    <t>SRI 672</t>
  </si>
  <si>
    <t>SRI 813</t>
  </si>
  <si>
    <t>SRI 601</t>
  </si>
  <si>
    <t>SMD 386</t>
  </si>
  <si>
    <t>SMD 375</t>
  </si>
  <si>
    <t>SMD 364</t>
  </si>
  <si>
    <t>SMD 359</t>
  </si>
  <si>
    <t>SMD 102</t>
  </si>
  <si>
    <t>SMD 726</t>
  </si>
  <si>
    <t>SMD 168</t>
  </si>
  <si>
    <t>SMD 757</t>
  </si>
  <si>
    <t>SMD 447</t>
  </si>
  <si>
    <t>SMD 346</t>
  </si>
  <si>
    <t>SMD 927</t>
  </si>
  <si>
    <t>SMD 711</t>
  </si>
  <si>
    <t>SMD 343</t>
  </si>
  <si>
    <t>SII 424</t>
  </si>
  <si>
    <t>SII 930</t>
  </si>
  <si>
    <t>SWN 292</t>
  </si>
  <si>
    <t>SWN 592</t>
  </si>
  <si>
    <t>SWN 645</t>
  </si>
  <si>
    <t>SDI 502</t>
  </si>
  <si>
    <t>SDI 227</t>
  </si>
  <si>
    <t>SFR 193</t>
  </si>
  <si>
    <t>SFR 739</t>
  </si>
  <si>
    <t>SFR 480</t>
  </si>
  <si>
    <t>SFR 288</t>
  </si>
  <si>
    <t>SFR 203</t>
  </si>
  <si>
    <t>SFR 620</t>
  </si>
  <si>
    <t>SFR 740</t>
  </si>
  <si>
    <t>SNO 633</t>
  </si>
  <si>
    <t>SNO 888</t>
  </si>
  <si>
    <t>SNO 266</t>
  </si>
  <si>
    <t>SNO 765</t>
  </si>
  <si>
    <t>SZK 822</t>
  </si>
  <si>
    <t>SZK 504</t>
  </si>
  <si>
    <t>SSP 255</t>
  </si>
  <si>
    <t>SSP 989</t>
  </si>
  <si>
    <t>SSP 399</t>
  </si>
  <si>
    <t>SSP 555</t>
  </si>
  <si>
    <t>SSP 546</t>
  </si>
  <si>
    <t>SVN 641</t>
  </si>
  <si>
    <t>SVN 680</t>
  </si>
  <si>
    <t>SVN 179</t>
  </si>
  <si>
    <t>SLI 977</t>
  </si>
  <si>
    <t>SLI 776</t>
  </si>
  <si>
    <t>SLI 800</t>
  </si>
  <si>
    <t>SLI 583</t>
  </si>
  <si>
    <t>SLI 543</t>
  </si>
  <si>
    <t>SLI 803</t>
  </si>
  <si>
    <t>SLI 331</t>
  </si>
  <si>
    <t>SLI 430</t>
  </si>
  <si>
    <t>SLI 940</t>
  </si>
  <si>
    <t>SLI 890</t>
  </si>
  <si>
    <t>SLI 618</t>
  </si>
  <si>
    <t>SLI 479</t>
  </si>
  <si>
    <t>STA 817</t>
  </si>
  <si>
    <t>STA 983</t>
  </si>
  <si>
    <t>STA 793</t>
  </si>
  <si>
    <t>Baru</t>
  </si>
  <si>
    <t>INF - CO - Celana - Jeans</t>
  </si>
  <si>
    <t xml:space="preserve"> INF - CO - Celana - Jeans </t>
  </si>
  <si>
    <t xml:space="preserve"> INF - Ce - Celana - Jeans </t>
  </si>
  <si>
    <t>INF - Anak Ce - Jaket</t>
  </si>
  <si>
    <t>INF - Anak Ce - Sweater</t>
  </si>
  <si>
    <t>INF - Co - Jaket - Canvas</t>
  </si>
  <si>
    <t>INF - Ce - Jaket - Canvas</t>
  </si>
  <si>
    <t>INF - Ce - Jaket - Vienna</t>
  </si>
  <si>
    <t>INF - Anak - Tas</t>
  </si>
  <si>
    <t>INF - Ce - Tas Punggung Sintetis</t>
  </si>
  <si>
    <t>INF - Co - Aksesoris - Dompet</t>
  </si>
  <si>
    <t>INF - Anak Ce - Mukena</t>
  </si>
  <si>
    <t>INF - Co - Jaket - Ferrary</t>
  </si>
  <si>
    <t>INF - Ce - Pakaian - Dress Spandek</t>
  </si>
  <si>
    <t>INF - Ce - Co - Sarimbit</t>
  </si>
  <si>
    <t>INF - Co - Pakaian - Kemeja</t>
  </si>
  <si>
    <t>INF - Ce - Pakaian - Gamis</t>
  </si>
  <si>
    <t>Belum - Ada - Kategori</t>
  </si>
  <si>
    <t>INF - Co - Tas - Travel</t>
  </si>
  <si>
    <t>INF - Ce - Mukena</t>
  </si>
  <si>
    <t>INF - Anak Co - Jaket</t>
  </si>
  <si>
    <t>INF - Co - Jaket - Jaket Touring</t>
  </si>
  <si>
    <t>INF - Co - Jaket - Taslan</t>
  </si>
  <si>
    <t>INF - Ce - Jaket - Taslan</t>
  </si>
  <si>
    <t>INF - Co - Pakaian - Lacoste</t>
  </si>
  <si>
    <t>INF - Co - Tas - Punggung</t>
  </si>
  <si>
    <t>Perlengkapan Bayi</t>
  </si>
  <si>
    <t>INF - Co - Tas - Samping</t>
  </si>
  <si>
    <t>INF - Ce - Pakaian - Atasan - Rajut</t>
  </si>
  <si>
    <t>INF - Ce - Jaket - Diadora</t>
  </si>
  <si>
    <t>ALEX SLX</t>
  </si>
  <si>
    <t>Suteja - STJ</t>
  </si>
  <si>
    <t>Ika - SIP</t>
  </si>
  <si>
    <t>Faisal - SFS</t>
  </si>
  <si>
    <t>Rahmat Sonjaya - NEW</t>
  </si>
  <si>
    <t>Wawan-SMB</t>
  </si>
  <si>
    <t>Budi - SPT</t>
  </si>
  <si>
    <t>HARYATI - NEW</t>
  </si>
  <si>
    <t>WANJA - STV</t>
  </si>
  <si>
    <t>Ummu Hani - New</t>
  </si>
  <si>
    <t>ANDRI STU</t>
  </si>
  <si>
    <t>Dian - SDN</t>
  </si>
  <si>
    <t>RIDWAN - SGT</t>
  </si>
  <si>
    <t>MELA - NEW</t>
  </si>
  <si>
    <t>CECEP - NEW</t>
  </si>
  <si>
    <t>AGUNG BUDIMAN - SGB</t>
  </si>
  <si>
    <t>Hasan - SFT</t>
  </si>
  <si>
    <t>IRFAN SEPTIANADA - NEW</t>
  </si>
  <si>
    <t>RAHMAT H - LJC</t>
  </si>
  <si>
    <t>TANTRI - NEW</t>
  </si>
  <si>
    <t>ADE OJAN - NEW</t>
  </si>
  <si>
    <t>JUJUN - NEW</t>
  </si>
  <si>
    <t>KASIL - SKL</t>
  </si>
  <si>
    <t>Asep Supriatna - SLN/LST</t>
  </si>
  <si>
    <t>ASEP RODI-SRO</t>
  </si>
  <si>
    <t>Jamal - SMI</t>
  </si>
  <si>
    <t>SONIYANSYAH - NEW</t>
  </si>
  <si>
    <t>DEDE TATANG - NEW</t>
  </si>
  <si>
    <t>Kokom Anisa - SOK</t>
  </si>
  <si>
    <t>Dani - SDR</t>
  </si>
  <si>
    <t>Tati Hardiati - SRI/SKS/SFC/LSR</t>
  </si>
  <si>
    <t>Dayut - SMD</t>
  </si>
  <si>
    <t>IIS AISYAH - SII/LEO</t>
  </si>
  <si>
    <t>H IWAN K</t>
  </si>
  <si>
    <t>DENI JAKET - NEW</t>
  </si>
  <si>
    <t>Feri - SFR/LTY</t>
  </si>
  <si>
    <t>Yono - SNO</t>
  </si>
  <si>
    <t>Didin - SZK</t>
  </si>
  <si>
    <t>Usep - SSP</t>
  </si>
  <si>
    <t>Ervin - SVN</t>
  </si>
  <si>
    <t>Admaryus - SPV</t>
  </si>
  <si>
    <t>Ali Muhammad - SAM/SLI</t>
  </si>
  <si>
    <t>TITA - NEW</t>
  </si>
  <si>
    <t>Katalog,slip kemeja,label,handtag,plastik</t>
  </si>
  <si>
    <t>katalog,slip,label,hangtag,kulit jeans,laken L</t>
  </si>
  <si>
    <t>katalog,slip,label,handtag,plastik</t>
  </si>
  <si>
    <t>katalog,slip,label,hangtag,label kain htm,laken L</t>
  </si>
  <si>
    <t>katalog,slip,label,hangtag,plastik</t>
  </si>
  <si>
    <t>katalog,slip,label,hangtag,laken L</t>
  </si>
  <si>
    <t>katalog,slip,label,hangtag,emblem 1 , laken L, embelem 2</t>
  </si>
  <si>
    <t>katalog,slip,label,hangtag,emblem,laken L</t>
  </si>
  <si>
    <t>katalog,slip,label ID,handtag,laken XL</t>
  </si>
  <si>
    <t>katalog,slip,handtag,logam emas, laken L</t>
  </si>
  <si>
    <t>katalog,slip karet,handtag,laken L</t>
  </si>
  <si>
    <t>katalog,slip karet,handtag,laken XL,logam emas</t>
  </si>
  <si>
    <t>katalog,slip,label ID,hangtag,laken XL</t>
  </si>
  <si>
    <t xml:space="preserve">katalog,slip,handtag,logam emas, laken </t>
  </si>
  <si>
    <t>katalog,slip,handtag, laken L</t>
  </si>
  <si>
    <t>katalog,slip,handtag,logam mikel, laken L</t>
  </si>
  <si>
    <t>katalog,slip karet,handtag, logam emas,laken S</t>
  </si>
  <si>
    <t>katalog,slip karet,handtag,Dus,label kain</t>
  </si>
  <si>
    <t>katalog,slip karet,handtag,laken S</t>
  </si>
  <si>
    <t>katalog,slip,handtag</t>
  </si>
  <si>
    <t>katalog,slip karet,handtag, logam emas,laken XL</t>
  </si>
  <si>
    <t>katalog,slip karet,handtag, logam emas,laken L</t>
  </si>
  <si>
    <t>katalog,slip karet,handtag,logam mikel, laken L</t>
  </si>
  <si>
    <t>katalog,slip ,handtag,laken XL</t>
  </si>
  <si>
    <t>katalog,slip ,Label,handtag,laken L</t>
  </si>
  <si>
    <t>katalog,slip ,Label,handtag,laken L, kulit jeans</t>
  </si>
  <si>
    <t>katalog,slip ,label ID,handtag,laken XL</t>
  </si>
  <si>
    <t>katalog,slip ,Label,handtag,plastik</t>
  </si>
  <si>
    <t>katalog,slip ,label ID,handtag,laken L</t>
  </si>
  <si>
    <t>katalog,slip ,handtag,kulit jeans cewe,plastik</t>
  </si>
  <si>
    <t>katalog,slip karet,label pundak,handtag, logam emas,laken L</t>
  </si>
  <si>
    <t>katalog,slip ,Label,handtag,laken XL</t>
  </si>
  <si>
    <t>katalog,slip ,Label,handtag,dus kecil</t>
  </si>
  <si>
    <t>katalog,slip ,Label,handtag,plastik besar</t>
  </si>
  <si>
    <t>katalog,slip ,Label,handtag,dus besar</t>
  </si>
  <si>
    <t>katalog,slip karet,handtag, logam emas,laken M</t>
  </si>
  <si>
    <t>katalog,slip ,handtag, logam emas,laken XL</t>
  </si>
  <si>
    <t>katalog,slip ,handtag,laken L</t>
  </si>
  <si>
    <t>katalog,slip ,handtag,kulit jeans,laken L</t>
  </si>
  <si>
    <t>katalog,slip ,handtag,label ID,label+woven</t>
  </si>
  <si>
    <t>katalog,slip ,handtag,label ID,label+woven,lubang 2</t>
  </si>
  <si>
    <t>katalog,slip karet,handtag,logam emas,laken XL</t>
  </si>
  <si>
    <t>katalog,slip ,slip,handtag,laken L</t>
  </si>
  <si>
    <t>katalog,slip ,slip,handtag,plastik besar</t>
  </si>
  <si>
    <t>katalog,slip kain,handtag,dus</t>
  </si>
  <si>
    <t>katalog ,slip,handtag,laken S</t>
  </si>
  <si>
    <t>katalog ,slip,label,handtag,laken L</t>
  </si>
  <si>
    <t>katalog,slip ,label,handtag,emblem,laken L</t>
  </si>
  <si>
    <t>katalog,slip ,label,handtag,label lacoste,plastik</t>
  </si>
  <si>
    <t>katalog,slip ,label,handtag,label lacoste,laken L</t>
  </si>
  <si>
    <t>katalog ,slip,label,handtag,laken XL</t>
  </si>
  <si>
    <t>katalog,slip ,label,handtag,kulit jeans,laken L</t>
  </si>
  <si>
    <t>katalog,slip ,label pundak,handtag,emblem,laken L</t>
  </si>
  <si>
    <t>katalog,slip ,label pundak,handtag,label kain,laken L</t>
  </si>
  <si>
    <t>katalog ,slip,handtag,kulit woven,laken XL</t>
  </si>
  <si>
    <t>katalog,slip ,label ID,handtag</t>
  </si>
  <si>
    <t>katalog,slip ,label,handtag,plastik besar</t>
  </si>
  <si>
    <t>katalog,slip karet,handtag,logam mikel,laken XL</t>
  </si>
  <si>
    <t>katalog,slip karet,handtag,logam besar,laken XL</t>
  </si>
  <si>
    <t>katalog,slip karet,handtag,logam emas,laken L</t>
  </si>
  <si>
    <t>katalog,slip karet,handtag,laken XL</t>
  </si>
  <si>
    <t>katalog,slip karet,handtag,logam kaleng,laken XL</t>
  </si>
  <si>
    <t>katalog,slip karet,handtag,logam besar,laken L</t>
  </si>
  <si>
    <t>katalog,slip,label,handtag,label lacoste,laken L</t>
  </si>
  <si>
    <t>katalog,slip,label,handtag,laken L</t>
  </si>
  <si>
    <t>katalog,slip,label,handtag,lakon jaket,laken L</t>
  </si>
  <si>
    <t>katalog,slip ,label,handtag,emblem,plastik</t>
  </si>
  <si>
    <t>katalog,slip 2x ,handtag,emblem 2x,laken L</t>
  </si>
  <si>
    <t>katalog,slip ,label,handtag,plastik25</t>
  </si>
  <si>
    <t>katalog,slip ,label,handtag,label lacoste,plastik450</t>
  </si>
  <si>
    <t>katalog,slip ,label,handtag,label lacoste,plastik451</t>
  </si>
  <si>
    <t>katalog,slip ,label,handtag,label lacoste,plastik452</t>
  </si>
  <si>
    <t>katalog,slip ,label,handtag,label lacoste,plastik453</t>
  </si>
  <si>
    <t>katalog,slip karet,handtag,laken, logam emas</t>
  </si>
  <si>
    <t>katalog,slip,handtag,laken L, logam emas</t>
  </si>
  <si>
    <t>katalog,slip,handtag,laken L, logam mikel</t>
  </si>
  <si>
    <t>katalog,slip karet,handtag,laken XL, logam emas</t>
  </si>
  <si>
    <t>katalog,slip karet,handtag,laken L, logam emas</t>
  </si>
  <si>
    <t>katalog,slip,handtag,laken L</t>
  </si>
  <si>
    <t>katalog,slip,handtag,label,label lacoste,laken L,</t>
  </si>
  <si>
    <t>katalog,slip karet,handtag,laken XL, logam mikel</t>
  </si>
  <si>
    <t>katalog,slip karet,handtag kulit,laken XL, Cat emas</t>
  </si>
  <si>
    <t>katalog,slip karet,handtag kulit,laken L</t>
  </si>
  <si>
    <t>katalog,slip karet,handtag kulit,cat emas,laken L</t>
  </si>
  <si>
    <t>katalog,slip ,label,handtag,label lacoste,plastik750</t>
  </si>
  <si>
    <t>katalog,slip ,label,handtag,label lacoste,plastik751</t>
  </si>
  <si>
    <t>katalog,slip ,label,handtag,label lacoste,plastik752</t>
  </si>
  <si>
    <t>katalog,slip ,label,handtag,label lacoste,plastik753</t>
  </si>
  <si>
    <t>katalog,slip,handtag,label,laken L</t>
  </si>
  <si>
    <t>katalog,slip,handtag,label,laken XL</t>
  </si>
  <si>
    <t>katalog,slip,handtag,kulit jeans,laken L</t>
  </si>
  <si>
    <t>katalog,slip,label ID,handtag,laken XL,Label+woven, Slip karet tali laptop</t>
  </si>
  <si>
    <t>katalog,slip,handtag,label ID</t>
  </si>
  <si>
    <t>katalog,slip,handtag,label ID, Kulit jeans, laken M</t>
  </si>
  <si>
    <t>katalog,slip,label ID,handtag,laken XL,kulit+woven</t>
  </si>
  <si>
    <t>katalog,slip ,label,label saku,plastik besar,hangtag</t>
  </si>
  <si>
    <t>katalog,slip,handtag,label, label saku, laken L</t>
  </si>
  <si>
    <t>Katalog, slip, hangtag, kulit jeruk, laken L, Preasure Denim</t>
  </si>
  <si>
    <t>SIP 549</t>
  </si>
  <si>
    <t>-</t>
  </si>
  <si>
    <t>SIP 933</t>
  </si>
  <si>
    <t>INF - Ce - Atasan - Jeans</t>
  </si>
  <si>
    <t>SMB 251</t>
  </si>
  <si>
    <t>SKL 832</t>
  </si>
  <si>
    <t>SDI 984</t>
  </si>
  <si>
    <t>INF - Co Anak - Jaket - Ferrari</t>
  </si>
  <si>
    <t>INF - Co - Jaket - Ferrari</t>
  </si>
  <si>
    <t>SFT 223</t>
  </si>
  <si>
    <t>SMD 275</t>
  </si>
  <si>
    <t>SLN 730</t>
  </si>
  <si>
    <t>SDK 340</t>
  </si>
  <si>
    <t>baru</t>
  </si>
  <si>
    <t>No.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</si>
</sst>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i/>
      <sz val="10"/>
      <color theme="1"/>
      <name val="Arial"/>
      <family val="2"/>
    </font>
    <font>
      <i/>
      <sz val="11"/>
      <name val="Calibri"/>
      <family val="2"/>
      <scheme val="minor"/>
    </font>
    <font>
      <b/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41" fontId="4" fillId="2" borderId="0" xfId="2" applyFont="1" applyFill="1" applyAlignment="1">
      <alignment horizontal="center" vertical="center"/>
    </xf>
    <xf numFmtId="164" fontId="2" fillId="5" borderId="0" xfId="1" applyNumberFormat="1" applyFont="1" applyFill="1" applyAlignment="1">
      <alignment vertical="center"/>
    </xf>
    <xf numFmtId="41" fontId="2" fillId="3" borderId="0" xfId="0" applyNumberFormat="1" applyFont="1" applyFill="1" applyAlignment="1">
      <alignment vertical="center"/>
    </xf>
    <xf numFmtId="165" fontId="2" fillId="3" borderId="0" xfId="3" applyNumberFormat="1" applyFont="1" applyFill="1" applyAlignment="1">
      <alignment horizontal="center" vertical="center"/>
    </xf>
    <xf numFmtId="41" fontId="2" fillId="2" borderId="0" xfId="2" applyFont="1" applyFill="1" applyAlignment="1">
      <alignment vertical="center"/>
    </xf>
    <xf numFmtId="10" fontId="2" fillId="2" borderId="0" xfId="3" applyNumberFormat="1" applyFont="1" applyFill="1" applyAlignment="1">
      <alignment vertical="center"/>
    </xf>
    <xf numFmtId="41" fontId="2" fillId="0" borderId="0" xfId="0" applyNumberFormat="1" applyFont="1" applyAlignment="1">
      <alignment vertical="center"/>
    </xf>
    <xf numFmtId="0" fontId="0" fillId="0" borderId="0" xfId="0" applyFill="1"/>
    <xf numFmtId="41" fontId="9" fillId="8" borderId="0" xfId="2" applyFont="1" applyFill="1" applyAlignment="1"/>
    <xf numFmtId="0" fontId="0" fillId="8" borderId="0" xfId="0" applyFill="1"/>
    <xf numFmtId="0" fontId="9" fillId="8" borderId="0" xfId="0" applyFont="1" applyFill="1" applyAlignment="1">
      <alignment horizontal="center"/>
    </xf>
    <xf numFmtId="0" fontId="0" fillId="0" borderId="0" xfId="0" applyAlignment="1">
      <alignment horizontal="center"/>
    </xf>
    <xf numFmtId="41" fontId="0" fillId="0" borderId="0" xfId="2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41" fontId="0" fillId="0" borderId="0" xfId="2" applyFont="1"/>
    <xf numFmtId="0" fontId="0" fillId="6" borderId="0" xfId="0" applyFill="1" applyAlignment="1">
      <alignment vertical="center"/>
    </xf>
    <xf numFmtId="9" fontId="2" fillId="4" borderId="0" xfId="3" applyFont="1" applyFill="1" applyAlignment="1">
      <alignment vertical="center"/>
    </xf>
    <xf numFmtId="9" fontId="0" fillId="0" borderId="0" xfId="3" applyFont="1"/>
    <xf numFmtId="9" fontId="2" fillId="0" borderId="0" xfId="3" applyFont="1" applyAlignment="1">
      <alignment vertical="center"/>
    </xf>
    <xf numFmtId="41" fontId="2" fillId="11" borderId="0" xfId="2" applyFont="1" applyFill="1" applyAlignment="1">
      <alignment vertical="center"/>
    </xf>
    <xf numFmtId="10" fontId="2" fillId="11" borderId="0" xfId="3" applyNumberFormat="1" applyFont="1" applyFill="1" applyAlignment="1">
      <alignment vertical="center"/>
    </xf>
    <xf numFmtId="10" fontId="8" fillId="0" borderId="0" xfId="3" applyNumberFormat="1" applyFont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41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center"/>
    </xf>
    <xf numFmtId="41" fontId="2" fillId="10" borderId="0" xfId="2" applyFont="1" applyFill="1" applyAlignment="1">
      <alignment vertical="center"/>
    </xf>
    <xf numFmtId="0" fontId="0" fillId="2" borderId="0" xfId="0" applyFill="1"/>
    <xf numFmtId="41" fontId="8" fillId="0" borderId="0" xfId="0" applyNumberFormat="1" applyFont="1" applyAlignment="1">
      <alignment vertical="center"/>
    </xf>
    <xf numFmtId="10" fontId="2" fillId="0" borderId="0" xfId="3" applyNumberFormat="1" applyFont="1" applyAlignment="1">
      <alignment vertical="center"/>
    </xf>
    <xf numFmtId="10" fontId="4" fillId="0" borderId="0" xfId="3" applyNumberFormat="1" applyFont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10" fillId="9" borderId="0" xfId="0" applyFont="1" applyFill="1" applyAlignment="1">
      <alignment vertical="center"/>
    </xf>
    <xf numFmtId="41" fontId="5" fillId="9" borderId="0" xfId="2" applyFont="1" applyFill="1" applyAlignment="1">
      <alignment horizontal="center" vertical="center"/>
    </xf>
    <xf numFmtId="41" fontId="10" fillId="9" borderId="0" xfId="2" applyFont="1" applyFill="1" applyAlignment="1">
      <alignment horizontal="center" vertical="center"/>
    </xf>
    <xf numFmtId="41" fontId="11" fillId="9" borderId="0" xfId="2" applyFont="1" applyFill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center"/>
    </xf>
    <xf numFmtId="0" fontId="2" fillId="9" borderId="0" xfId="0" applyFont="1" applyFill="1" applyBorder="1" applyAlignment="1">
      <alignment vertical="center"/>
    </xf>
    <xf numFmtId="0" fontId="0" fillId="9" borderId="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 vertical="center"/>
    </xf>
    <xf numFmtId="0" fontId="0" fillId="9" borderId="0" xfId="0" applyFill="1" applyBorder="1" applyAlignment="1">
      <alignment horizontal="center"/>
    </xf>
    <xf numFmtId="41" fontId="0" fillId="9" borderId="0" xfId="2" applyFont="1" applyFill="1" applyBorder="1" applyAlignment="1">
      <alignment horizontal="right"/>
    </xf>
    <xf numFmtId="41" fontId="0" fillId="9" borderId="0" xfId="0" applyNumberFormat="1" applyFill="1" applyBorder="1" applyAlignment="1">
      <alignment horizontal="center" vertical="center"/>
    </xf>
    <xf numFmtId="41" fontId="0" fillId="9" borderId="0" xfId="2" applyFont="1" applyFill="1" applyBorder="1" applyAlignment="1">
      <alignment horizontal="center"/>
    </xf>
    <xf numFmtId="41" fontId="4" fillId="9" borderId="0" xfId="2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horizontal="center" vertical="center"/>
    </xf>
    <xf numFmtId="0" fontId="0" fillId="9" borderId="0" xfId="0" applyFont="1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41" fontId="2" fillId="9" borderId="0" xfId="2" applyNumberFormat="1" applyFont="1" applyFill="1" applyBorder="1" applyAlignment="1">
      <alignment horizontal="left" vertical="center"/>
    </xf>
    <xf numFmtId="3" fontId="0" fillId="9" borderId="0" xfId="0" applyNumberFormat="1" applyFill="1" applyBorder="1" applyAlignment="1">
      <alignment horizontal="right"/>
    </xf>
    <xf numFmtId="41" fontId="2" fillId="9" borderId="0" xfId="0" applyNumberFormat="1" applyFont="1" applyFill="1" applyBorder="1" applyAlignment="1">
      <alignment vertical="center"/>
    </xf>
    <xf numFmtId="41" fontId="0" fillId="4" borderId="0" xfId="2" applyFont="1" applyFill="1" applyBorder="1" applyAlignment="1">
      <alignment horizontal="right"/>
    </xf>
    <xf numFmtId="0" fontId="2" fillId="7" borderId="0" xfId="0" applyFont="1" applyFill="1" applyBorder="1" applyAlignment="1">
      <alignment horizontal="center" vertical="center"/>
    </xf>
    <xf numFmtId="41" fontId="0" fillId="4" borderId="0" xfId="2" applyFont="1" applyFill="1" applyBorder="1" applyAlignment="1">
      <alignment horizontal="center"/>
    </xf>
    <xf numFmtId="41" fontId="0" fillId="9" borderId="0" xfId="2" applyFont="1" applyFill="1" applyBorder="1"/>
    <xf numFmtId="41" fontId="6" fillId="9" borderId="0" xfId="2" applyFont="1" applyFill="1" applyBorder="1" applyAlignment="1">
      <alignment horizontal="center" vertical="center"/>
    </xf>
    <xf numFmtId="41" fontId="0" fillId="4" borderId="0" xfId="2" applyFont="1" applyFill="1" applyBorder="1"/>
    <xf numFmtId="0" fontId="2" fillId="0" borderId="0" xfId="0" applyFont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0" fillId="0" borderId="0" xfId="2" applyFont="1" applyAlignment="1">
      <alignment horizontal="right"/>
    </xf>
    <xf numFmtId="9" fontId="2" fillId="4" borderId="0" xfId="3" applyNumberFormat="1" applyFont="1" applyFill="1" applyAlignment="1">
      <alignment vertical="center"/>
    </xf>
    <xf numFmtId="43" fontId="2" fillId="0" borderId="0" xfId="0" applyNumberFormat="1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0" fontId="0" fillId="12" borderId="0" xfId="0" applyFill="1" applyAlignment="1">
      <alignment vertical="center"/>
    </xf>
  </cellXfs>
  <cellStyles count="7">
    <cellStyle name="Comma" xfId="1" builtinId="3"/>
    <cellStyle name="Comma [0]" xfId="2" builtinId="6"/>
    <cellStyle name="Normal" xfId="0" builtinId="0"/>
    <cellStyle name="Normal 2" xfId="4"/>
    <cellStyle name="Normal 4" xfId="5"/>
    <cellStyle name="Normal 5" xfId="6"/>
    <cellStyle name="Percent" xfId="3" builtinId="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A1:AN281"/>
  <sheetViews>
    <sheetView tabSelected="1" zoomScale="80" zoomScaleNormal="80" workbookViewId="0">
      <pane xSplit="7" topLeftCell="H1" activePane="topRight" state="frozen"/>
      <selection pane="topRight" activeCell="H3" sqref="H3"/>
    </sheetView>
  </sheetViews>
  <sheetFormatPr defaultColWidth="9.109375" defaultRowHeight="14.4"/>
  <cols>
    <col min="1" max="1" width="11.6640625" style="2" bestFit="1" customWidth="1"/>
    <col min="2" max="2" width="5.109375" style="1" customWidth="1"/>
    <col min="3" max="3" width="10.88671875" style="2" customWidth="1"/>
    <col min="4" max="4" width="7.6640625" style="2" customWidth="1"/>
    <col min="5" max="5" width="13.109375" style="2" customWidth="1"/>
    <col min="6" max="6" width="10.5546875" style="1" customWidth="1"/>
    <col min="7" max="7" width="9.109375" style="2"/>
    <col min="8" max="8" width="45.88671875" style="2" customWidth="1"/>
    <col min="9" max="9" width="23.6640625" style="2" customWidth="1"/>
    <col min="10" max="10" width="14.33203125" style="68" customWidth="1"/>
    <col min="11" max="11" width="13.33203125" style="2" customWidth="1"/>
    <col min="12" max="15" width="12.44140625" style="2" customWidth="1"/>
    <col min="16" max="16" width="18.33203125" style="32" customWidth="1"/>
    <col min="17" max="17" width="88.6640625" style="2" customWidth="1"/>
    <col min="18" max="18" width="10.33203125" style="3" bestFit="1" customWidth="1"/>
    <col min="19" max="19" width="17.109375" style="2" bestFit="1" customWidth="1"/>
    <col min="20" max="20" width="11.33203125" style="2" bestFit="1" customWidth="1"/>
    <col min="21" max="21" width="12" style="2" customWidth="1"/>
    <col min="22" max="22" width="7.6640625" style="2" customWidth="1"/>
    <col min="23" max="23" width="12.109375" style="2" customWidth="1"/>
    <col min="24" max="24" width="10" style="39" bestFit="1" customWidth="1"/>
    <col min="25" max="25" width="9" style="2" customWidth="1"/>
    <col min="26" max="26" width="9.6640625" style="2" customWidth="1"/>
    <col min="27" max="27" width="8.109375" style="2" customWidth="1"/>
    <col min="28" max="16384" width="9.109375" style="2"/>
  </cols>
  <sheetData>
    <row r="1" spans="1:27">
      <c r="V1" s="72"/>
    </row>
    <row r="2" spans="1:27" ht="25.8">
      <c r="B2" s="4" t="s">
        <v>0</v>
      </c>
      <c r="X2" s="31" t="e">
        <f>AVERAGE(X5:X263)</f>
        <v>#DIV/0!</v>
      </c>
      <c r="Y2" s="5"/>
      <c r="Z2" s="38">
        <v>4008</v>
      </c>
      <c r="AA2" s="5"/>
    </row>
    <row r="3" spans="1:27" ht="25.8" customHeight="1">
      <c r="B3" s="4"/>
      <c r="R3" s="73" t="s">
        <v>1</v>
      </c>
      <c r="S3" s="73"/>
      <c r="T3" s="73"/>
      <c r="U3" s="73"/>
      <c r="V3" s="73"/>
      <c r="W3" s="73"/>
      <c r="X3" s="74"/>
      <c r="Y3" s="5"/>
      <c r="Z3" s="5"/>
      <c r="AA3" s="5"/>
    </row>
    <row r="4" spans="1:27" s="6" customFormat="1" ht="21.6" customHeight="1">
      <c r="A4" s="6" t="s">
        <v>486</v>
      </c>
      <c r="B4" s="6" t="s">
        <v>2</v>
      </c>
      <c r="C4" s="6" t="s">
        <v>3</v>
      </c>
      <c r="D4" s="6" t="s">
        <v>4</v>
      </c>
      <c r="E4" s="6" t="s">
        <v>81</v>
      </c>
      <c r="F4" s="6">
        <f>SUM(F5:F263)</f>
        <v>0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11</v>
      </c>
      <c r="N4" s="6" t="s">
        <v>12</v>
      </c>
      <c r="O4" s="6" t="s">
        <v>13</v>
      </c>
      <c r="P4" s="33" t="s">
        <v>114</v>
      </c>
      <c r="Q4" s="6" t="s">
        <v>12</v>
      </c>
      <c r="R4" s="7" t="s">
        <v>14</v>
      </c>
      <c r="S4" s="7" t="s">
        <v>15</v>
      </c>
      <c r="T4" s="7" t="s">
        <v>16</v>
      </c>
      <c r="U4" s="8" t="s">
        <v>17</v>
      </c>
      <c r="V4" s="8" t="s">
        <v>18</v>
      </c>
      <c r="W4" s="8" t="s">
        <v>19</v>
      </c>
      <c r="X4" s="40" t="s">
        <v>20</v>
      </c>
      <c r="Y4" s="9" t="s">
        <v>21</v>
      </c>
      <c r="Z4" s="9" t="s">
        <v>22</v>
      </c>
      <c r="AA4" s="9"/>
    </row>
    <row r="5" spans="1:27" ht="14.4" customHeight="1">
      <c r="A5" s="75"/>
      <c r="B5" s="46"/>
      <c r="C5" s="56" t="s">
        <v>199</v>
      </c>
      <c r="D5" s="48" t="str">
        <f t="shared" ref="D5:D68" si="0">REPLACE(C5,1,3, )</f>
        <v xml:space="preserve"> 916</v>
      </c>
      <c r="E5" s="57" t="s">
        <v>199</v>
      </c>
      <c r="F5" s="50">
        <f t="shared" ref="F5:F68" si="1">IF(C5=E5,0,1)</f>
        <v>0</v>
      </c>
      <c r="G5" s="51" t="s">
        <v>300</v>
      </c>
      <c r="H5" s="51" t="s">
        <v>319</v>
      </c>
      <c r="I5" s="51" t="s">
        <v>351</v>
      </c>
      <c r="J5" s="52">
        <v>103000</v>
      </c>
      <c r="K5" s="61">
        <f>J5-M5</f>
        <v>4050</v>
      </c>
      <c r="L5" s="50" t="s">
        <v>24</v>
      </c>
      <c r="M5" s="54">
        <f>J5-N5</f>
        <v>98950</v>
      </c>
      <c r="N5" s="65">
        <f>2000+200+250+1000+600</f>
        <v>4050</v>
      </c>
      <c r="O5" s="55">
        <f>M5+N5</f>
        <v>103000</v>
      </c>
      <c r="P5" s="43"/>
      <c r="Q5" s="41" t="s">
        <v>413</v>
      </c>
      <c r="R5" s="10"/>
      <c r="S5" s="10">
        <f>R5+O5</f>
        <v>103000</v>
      </c>
      <c r="T5" s="10">
        <f>S5/0.7</f>
        <v>147142.85714285716</v>
      </c>
      <c r="U5" s="11">
        <f>T5/0.875</f>
        <v>168163.26530612246</v>
      </c>
      <c r="V5" s="12">
        <f>(U5-T5)/U5</f>
        <v>0.12499999999999993</v>
      </c>
      <c r="W5" s="11">
        <f>(ROUNDUP((U5/100),0))*100</f>
        <v>168200</v>
      </c>
      <c r="X5" s="26">
        <f>(T5-O5)/T5</f>
        <v>0.3000000000000001</v>
      </c>
      <c r="Y5" s="13"/>
      <c r="Z5" s="13"/>
      <c r="AA5" s="13"/>
    </row>
    <row r="6" spans="1:27" ht="14.4" customHeight="1">
      <c r="A6" s="75"/>
      <c r="B6" s="46"/>
      <c r="C6" s="56" t="s">
        <v>200</v>
      </c>
      <c r="D6" s="48" t="str">
        <f t="shared" si="0"/>
        <v xml:space="preserve"> 996</v>
      </c>
      <c r="E6" s="57" t="s">
        <v>200</v>
      </c>
      <c r="F6" s="50">
        <f t="shared" si="1"/>
        <v>0</v>
      </c>
      <c r="G6" s="51" t="s">
        <v>300</v>
      </c>
      <c r="H6" s="51" t="s">
        <v>319</v>
      </c>
      <c r="I6" s="51" t="s">
        <v>351</v>
      </c>
      <c r="J6" s="52">
        <v>103000</v>
      </c>
      <c r="K6" s="61">
        <f>J6-M6</f>
        <v>4850</v>
      </c>
      <c r="L6" s="50" t="s">
        <v>24</v>
      </c>
      <c r="M6" s="54">
        <f>J6-N6</f>
        <v>98150</v>
      </c>
      <c r="N6" s="65">
        <f>2000+200+250+1000+600+800</f>
        <v>4850</v>
      </c>
      <c r="O6" s="55">
        <f>M6+N6</f>
        <v>103000</v>
      </c>
      <c r="P6" s="43"/>
      <c r="Q6" s="41" t="s">
        <v>414</v>
      </c>
      <c r="R6" s="10"/>
      <c r="S6" s="10">
        <f>R6+O6</f>
        <v>103000</v>
      </c>
      <c r="T6" s="10">
        <f>S6/0.7</f>
        <v>147142.85714285716</v>
      </c>
      <c r="U6" s="11">
        <f>T6/0.875</f>
        <v>168163.26530612246</v>
      </c>
      <c r="V6" s="12">
        <f>(U6-T6)/U6</f>
        <v>0.12499999999999993</v>
      </c>
      <c r="W6" s="11">
        <f>(ROUNDUP((U6/100),0))*100</f>
        <v>168200</v>
      </c>
      <c r="X6" s="26">
        <f>(T6-O6)/T6</f>
        <v>0.3000000000000001</v>
      </c>
      <c r="Y6" s="13"/>
      <c r="Z6" s="13"/>
      <c r="AA6" s="14"/>
    </row>
    <row r="7" spans="1:27" ht="14.4" customHeight="1">
      <c r="A7" s="75"/>
      <c r="B7" s="46"/>
      <c r="C7" s="56" t="s">
        <v>112</v>
      </c>
      <c r="D7" s="48" t="str">
        <f t="shared" si="0"/>
        <v xml:space="preserve"> 262</v>
      </c>
      <c r="E7" s="58" t="s">
        <v>112</v>
      </c>
      <c r="F7" s="50">
        <f t="shared" si="1"/>
        <v>0</v>
      </c>
      <c r="G7" s="51" t="s">
        <v>21</v>
      </c>
      <c r="H7" s="51" t="s">
        <v>327</v>
      </c>
      <c r="I7" s="51" t="s">
        <v>371</v>
      </c>
      <c r="J7" s="52"/>
      <c r="K7" s="61"/>
      <c r="L7" s="50"/>
      <c r="M7" s="65"/>
      <c r="N7" s="65"/>
      <c r="O7" s="55"/>
      <c r="P7" s="43"/>
      <c r="Q7" s="41"/>
      <c r="R7" s="10"/>
      <c r="S7" s="10"/>
      <c r="T7" s="10"/>
      <c r="U7" s="11"/>
      <c r="V7" s="12"/>
      <c r="W7" s="11"/>
      <c r="X7" s="26"/>
      <c r="Y7" s="36">
        <v>0</v>
      </c>
      <c r="Z7" s="29">
        <f t="shared" ref="Z7:Z12" si="2">T7-Y7</f>
        <v>0</v>
      </c>
      <c r="AA7" s="30" t="e">
        <f t="shared" ref="AA7:AA12" si="3">Z7/Y7</f>
        <v>#DIV/0!</v>
      </c>
    </row>
    <row r="8" spans="1:27" ht="14.4" customHeight="1">
      <c r="A8" s="75"/>
      <c r="B8" s="46"/>
      <c r="C8" s="56" t="s">
        <v>111</v>
      </c>
      <c r="D8" s="48" t="str">
        <f t="shared" si="0"/>
        <v xml:space="preserve"> 311</v>
      </c>
      <c r="E8" s="58" t="s">
        <v>111</v>
      </c>
      <c r="F8" s="50">
        <f t="shared" si="1"/>
        <v>0</v>
      </c>
      <c r="G8" s="51" t="s">
        <v>21</v>
      </c>
      <c r="H8" s="51" t="s">
        <v>327</v>
      </c>
      <c r="I8" s="51" t="s">
        <v>371</v>
      </c>
      <c r="J8" s="52"/>
      <c r="K8" s="61"/>
      <c r="L8" s="50"/>
      <c r="M8" s="65"/>
      <c r="N8" s="65"/>
      <c r="O8" s="55"/>
      <c r="P8" s="43"/>
      <c r="Q8" s="41"/>
      <c r="R8" s="10"/>
      <c r="S8" s="10"/>
      <c r="T8" s="10"/>
      <c r="U8" s="11"/>
      <c r="V8" s="12"/>
      <c r="W8" s="11"/>
      <c r="X8" s="26"/>
      <c r="Y8" s="36">
        <v>0</v>
      </c>
      <c r="Z8" s="29">
        <f t="shared" si="2"/>
        <v>0</v>
      </c>
      <c r="AA8" s="30" t="e">
        <f t="shared" si="3"/>
        <v>#DIV/0!</v>
      </c>
    </row>
    <row r="9" spans="1:27" ht="14.4" customHeight="1">
      <c r="A9" s="75"/>
      <c r="B9" s="46"/>
      <c r="C9" s="56" t="s">
        <v>113</v>
      </c>
      <c r="D9" s="48" t="str">
        <f t="shared" si="0"/>
        <v xml:space="preserve"> 491</v>
      </c>
      <c r="E9" s="57" t="s">
        <v>113</v>
      </c>
      <c r="F9" s="50">
        <f t="shared" si="1"/>
        <v>0</v>
      </c>
      <c r="G9" s="51" t="s">
        <v>21</v>
      </c>
      <c r="H9" s="51" t="s">
        <v>327</v>
      </c>
      <c r="I9" s="51" t="s">
        <v>371</v>
      </c>
      <c r="J9" s="62">
        <f>M9</f>
        <v>39000</v>
      </c>
      <c r="K9" s="61">
        <f t="shared" ref="K9:K40" si="4">J9-M9</f>
        <v>0</v>
      </c>
      <c r="L9" s="63" t="s">
        <v>23</v>
      </c>
      <c r="M9" s="67">
        <v>39000</v>
      </c>
      <c r="N9" s="65">
        <f>2000+200+600</f>
        <v>2800</v>
      </c>
      <c r="O9" s="55">
        <f t="shared" ref="O9:O29" si="5">M9+N9</f>
        <v>41800</v>
      </c>
      <c r="P9" s="43"/>
      <c r="Q9" s="41" t="s">
        <v>393</v>
      </c>
      <c r="R9" s="10"/>
      <c r="S9" s="10">
        <f t="shared" ref="S9:S40" si="6">R9+O9</f>
        <v>41800</v>
      </c>
      <c r="T9" s="10">
        <f t="shared" ref="T9:T40" si="7">S9/0.7</f>
        <v>59714.285714285717</v>
      </c>
      <c r="U9" s="11">
        <f t="shared" ref="U9:U40" si="8">T9/0.875</f>
        <v>68244.897959183683</v>
      </c>
      <c r="V9" s="12">
        <f t="shared" ref="V9:V40" si="9">(U9-T9)/U9</f>
        <v>0.12500000000000008</v>
      </c>
      <c r="W9" s="11">
        <f t="shared" ref="W9:W40" si="10">(ROUNDUP((U9/100),0))*100</f>
        <v>68300</v>
      </c>
      <c r="X9" s="26">
        <f t="shared" ref="X9:X40" si="11">(T9-O9)/T9</f>
        <v>0.30000000000000004</v>
      </c>
      <c r="Y9" s="36">
        <v>56000</v>
      </c>
      <c r="Z9" s="29">
        <f t="shared" si="2"/>
        <v>3714.2857142857174</v>
      </c>
      <c r="AA9" s="30">
        <f t="shared" si="3"/>
        <v>6.6326530612244958E-2</v>
      </c>
    </row>
    <row r="10" spans="1:27" ht="14.4" customHeight="1">
      <c r="A10" s="75"/>
      <c r="B10" s="46"/>
      <c r="C10" s="56" t="s">
        <v>75</v>
      </c>
      <c r="D10" s="48" t="str">
        <f t="shared" si="0"/>
        <v xml:space="preserve"> 215</v>
      </c>
      <c r="E10" s="57" t="s">
        <v>75</v>
      </c>
      <c r="F10" s="50">
        <f t="shared" si="1"/>
        <v>0</v>
      </c>
      <c r="G10" s="51" t="s">
        <v>21</v>
      </c>
      <c r="H10" s="51" t="s">
        <v>327</v>
      </c>
      <c r="I10" s="51" t="s">
        <v>371</v>
      </c>
      <c r="J10" s="62">
        <f>M10</f>
        <v>39000</v>
      </c>
      <c r="K10" s="61">
        <f t="shared" si="4"/>
        <v>0</v>
      </c>
      <c r="L10" s="63" t="s">
        <v>23</v>
      </c>
      <c r="M10" s="67">
        <v>39000</v>
      </c>
      <c r="N10" s="65">
        <f>2000+200+600</f>
        <v>2800</v>
      </c>
      <c r="O10" s="55">
        <f t="shared" si="5"/>
        <v>41800</v>
      </c>
      <c r="P10" s="43"/>
      <c r="Q10" s="41" t="s">
        <v>393</v>
      </c>
      <c r="R10" s="10"/>
      <c r="S10" s="10">
        <f t="shared" si="6"/>
        <v>41800</v>
      </c>
      <c r="T10" s="10">
        <f t="shared" si="7"/>
        <v>59714.285714285717</v>
      </c>
      <c r="U10" s="11">
        <f t="shared" si="8"/>
        <v>68244.897959183683</v>
      </c>
      <c r="V10" s="12">
        <f t="shared" si="9"/>
        <v>0.12500000000000008</v>
      </c>
      <c r="W10" s="11">
        <f t="shared" si="10"/>
        <v>68300</v>
      </c>
      <c r="X10" s="26">
        <f t="shared" si="11"/>
        <v>0.30000000000000004</v>
      </c>
      <c r="Y10" s="36">
        <v>56000</v>
      </c>
      <c r="Z10" s="29">
        <f t="shared" si="2"/>
        <v>3714.2857142857174</v>
      </c>
      <c r="AA10" s="30">
        <f t="shared" si="3"/>
        <v>6.6326530612244958E-2</v>
      </c>
    </row>
    <row r="11" spans="1:27" ht="14.4" customHeight="1">
      <c r="A11" s="75"/>
      <c r="B11" s="46"/>
      <c r="C11" s="56" t="s">
        <v>110</v>
      </c>
      <c r="D11" s="48" t="str">
        <f t="shared" si="0"/>
        <v xml:space="preserve"> 119</v>
      </c>
      <c r="E11" s="57" t="s">
        <v>110</v>
      </c>
      <c r="F11" s="50">
        <f t="shared" si="1"/>
        <v>0</v>
      </c>
      <c r="G11" s="51" t="s">
        <v>21</v>
      </c>
      <c r="H11" s="51" t="s">
        <v>327</v>
      </c>
      <c r="I11" s="51" t="s">
        <v>371</v>
      </c>
      <c r="J11" s="62">
        <f>M11</f>
        <v>37500</v>
      </c>
      <c r="K11" s="61">
        <f t="shared" si="4"/>
        <v>0</v>
      </c>
      <c r="L11" s="63" t="s">
        <v>23</v>
      </c>
      <c r="M11" s="67">
        <v>37500</v>
      </c>
      <c r="N11" s="65">
        <f>2000+200+600</f>
        <v>2800</v>
      </c>
      <c r="O11" s="55">
        <f t="shared" si="5"/>
        <v>40300</v>
      </c>
      <c r="P11" s="43"/>
      <c r="Q11" s="41" t="s">
        <v>393</v>
      </c>
      <c r="R11" s="10"/>
      <c r="S11" s="10">
        <f t="shared" si="6"/>
        <v>40300</v>
      </c>
      <c r="T11" s="10">
        <f t="shared" si="7"/>
        <v>57571.428571428572</v>
      </c>
      <c r="U11" s="11">
        <f t="shared" si="8"/>
        <v>65795.918367346938</v>
      </c>
      <c r="V11" s="12">
        <f t="shared" si="9"/>
        <v>0.12499999999999997</v>
      </c>
      <c r="W11" s="11">
        <f t="shared" si="10"/>
        <v>65800</v>
      </c>
      <c r="X11" s="26">
        <f t="shared" si="11"/>
        <v>0.3</v>
      </c>
      <c r="Y11" s="36">
        <v>56000</v>
      </c>
      <c r="Z11" s="29">
        <f t="shared" si="2"/>
        <v>1571.4285714285725</v>
      </c>
      <c r="AA11" s="30">
        <f t="shared" si="3"/>
        <v>2.8061224489795936E-2</v>
      </c>
    </row>
    <row r="12" spans="1:27" ht="14.4" customHeight="1">
      <c r="A12" s="75"/>
      <c r="B12" s="46"/>
      <c r="C12" s="56" t="s">
        <v>76</v>
      </c>
      <c r="D12" s="48" t="str">
        <f t="shared" si="0"/>
        <v xml:space="preserve"> 243</v>
      </c>
      <c r="E12" s="57" t="s">
        <v>76</v>
      </c>
      <c r="F12" s="50">
        <f t="shared" si="1"/>
        <v>0</v>
      </c>
      <c r="G12" s="51" t="s">
        <v>21</v>
      </c>
      <c r="H12" s="51" t="s">
        <v>327</v>
      </c>
      <c r="I12" s="51" t="s">
        <v>371</v>
      </c>
      <c r="J12" s="62">
        <f>M12</f>
        <v>37500</v>
      </c>
      <c r="K12" s="61">
        <f t="shared" si="4"/>
        <v>0</v>
      </c>
      <c r="L12" s="63" t="s">
        <v>23</v>
      </c>
      <c r="M12" s="67">
        <v>37500</v>
      </c>
      <c r="N12" s="65">
        <f>2000+200+600</f>
        <v>2800</v>
      </c>
      <c r="O12" s="55">
        <f t="shared" si="5"/>
        <v>40300</v>
      </c>
      <c r="P12" s="43"/>
      <c r="Q12" s="41" t="s">
        <v>393</v>
      </c>
      <c r="R12" s="10"/>
      <c r="S12" s="10">
        <f t="shared" si="6"/>
        <v>40300</v>
      </c>
      <c r="T12" s="10">
        <f t="shared" si="7"/>
        <v>57571.428571428572</v>
      </c>
      <c r="U12" s="11">
        <f t="shared" si="8"/>
        <v>65795.918367346938</v>
      </c>
      <c r="V12" s="12">
        <f t="shared" si="9"/>
        <v>0.12499999999999997</v>
      </c>
      <c r="W12" s="11">
        <f t="shared" si="10"/>
        <v>65800</v>
      </c>
      <c r="X12" s="26">
        <f t="shared" si="11"/>
        <v>0.3</v>
      </c>
      <c r="Y12" s="36">
        <v>56000</v>
      </c>
      <c r="Z12" s="29">
        <f t="shared" si="2"/>
        <v>1571.4285714285725</v>
      </c>
      <c r="AA12" s="30">
        <f t="shared" si="3"/>
        <v>2.8061224489795936E-2</v>
      </c>
    </row>
    <row r="13" spans="1:27" ht="14.4" customHeight="1">
      <c r="A13" s="75"/>
      <c r="B13" s="46"/>
      <c r="C13" s="56" t="s">
        <v>184</v>
      </c>
      <c r="D13" s="48" t="str">
        <f t="shared" si="0"/>
        <v xml:space="preserve"> 316</v>
      </c>
      <c r="E13" s="57" t="s">
        <v>184</v>
      </c>
      <c r="F13" s="50">
        <f t="shared" si="1"/>
        <v>0</v>
      </c>
      <c r="G13" s="51" t="s">
        <v>300</v>
      </c>
      <c r="H13" s="51" t="s">
        <v>315</v>
      </c>
      <c r="I13" s="51" t="s">
        <v>346</v>
      </c>
      <c r="J13" s="52">
        <v>88000</v>
      </c>
      <c r="K13" s="61">
        <f t="shared" si="4"/>
        <v>6150</v>
      </c>
      <c r="L13" s="50" t="s">
        <v>24</v>
      </c>
      <c r="M13" s="54">
        <f t="shared" ref="M13:M27" si="12">J13-N13</f>
        <v>81850</v>
      </c>
      <c r="N13" s="65">
        <f t="shared" ref="N13:N20" si="13">2000+200+350+600+3000</f>
        <v>6150</v>
      </c>
      <c r="O13" s="55">
        <f t="shared" si="5"/>
        <v>88000</v>
      </c>
      <c r="P13" s="44"/>
      <c r="Q13" s="41" t="s">
        <v>406</v>
      </c>
      <c r="R13" s="10"/>
      <c r="S13" s="10">
        <f t="shared" si="6"/>
        <v>88000</v>
      </c>
      <c r="T13" s="10">
        <f t="shared" si="7"/>
        <v>125714.28571428572</v>
      </c>
      <c r="U13" s="11">
        <f t="shared" si="8"/>
        <v>143673.46938775512</v>
      </c>
      <c r="V13" s="12">
        <f t="shared" si="9"/>
        <v>0.12500000000000003</v>
      </c>
      <c r="W13" s="11">
        <f t="shared" si="10"/>
        <v>143700</v>
      </c>
      <c r="X13" s="26">
        <f t="shared" si="11"/>
        <v>0.30000000000000004</v>
      </c>
      <c r="Y13" s="13"/>
      <c r="Z13" s="13"/>
      <c r="AA13" s="13"/>
    </row>
    <row r="14" spans="1:27" ht="14.4" customHeight="1">
      <c r="A14" s="75"/>
      <c r="B14" s="46"/>
      <c r="C14" s="56" t="s">
        <v>185</v>
      </c>
      <c r="D14" s="48" t="str">
        <f t="shared" si="0"/>
        <v xml:space="preserve"> 446</v>
      </c>
      <c r="E14" s="57" t="s">
        <v>185</v>
      </c>
      <c r="F14" s="50">
        <f t="shared" si="1"/>
        <v>0</v>
      </c>
      <c r="G14" s="51" t="s">
        <v>300</v>
      </c>
      <c r="H14" s="51" t="s">
        <v>315</v>
      </c>
      <c r="I14" s="51" t="s">
        <v>346</v>
      </c>
      <c r="J14" s="52">
        <v>83000</v>
      </c>
      <c r="K14" s="61">
        <f t="shared" si="4"/>
        <v>6150</v>
      </c>
      <c r="L14" s="50" t="s">
        <v>24</v>
      </c>
      <c r="M14" s="54">
        <f t="shared" si="12"/>
        <v>76850</v>
      </c>
      <c r="N14" s="65">
        <f t="shared" si="13"/>
        <v>6150</v>
      </c>
      <c r="O14" s="55">
        <f t="shared" si="5"/>
        <v>83000</v>
      </c>
      <c r="P14" s="44"/>
      <c r="Q14" s="41" t="s">
        <v>406</v>
      </c>
      <c r="R14" s="10"/>
      <c r="S14" s="10">
        <f t="shared" si="6"/>
        <v>83000</v>
      </c>
      <c r="T14" s="10">
        <f t="shared" si="7"/>
        <v>118571.42857142858</v>
      </c>
      <c r="U14" s="11">
        <f t="shared" si="8"/>
        <v>135510.20408163266</v>
      </c>
      <c r="V14" s="12">
        <f t="shared" si="9"/>
        <v>0.125</v>
      </c>
      <c r="W14" s="11">
        <f t="shared" si="10"/>
        <v>135600</v>
      </c>
      <c r="X14" s="26">
        <f t="shared" si="11"/>
        <v>0.30000000000000004</v>
      </c>
      <c r="Y14" s="13"/>
      <c r="Z14" s="13"/>
      <c r="AA14" s="13"/>
    </row>
    <row r="15" spans="1:27" ht="14.4" customHeight="1">
      <c r="A15" s="75"/>
      <c r="B15" s="46"/>
      <c r="C15" s="56" t="s">
        <v>186</v>
      </c>
      <c r="D15" s="48" t="str">
        <f t="shared" si="0"/>
        <v xml:space="preserve"> 517</v>
      </c>
      <c r="E15" s="57" t="s">
        <v>186</v>
      </c>
      <c r="F15" s="50">
        <f t="shared" si="1"/>
        <v>0</v>
      </c>
      <c r="G15" s="51" t="s">
        <v>300</v>
      </c>
      <c r="H15" s="51" t="s">
        <v>315</v>
      </c>
      <c r="I15" s="51" t="s">
        <v>346</v>
      </c>
      <c r="J15" s="52">
        <v>88000</v>
      </c>
      <c r="K15" s="61">
        <f t="shared" si="4"/>
        <v>6150</v>
      </c>
      <c r="L15" s="50" t="s">
        <v>24</v>
      </c>
      <c r="M15" s="54">
        <f t="shared" si="12"/>
        <v>81850</v>
      </c>
      <c r="N15" s="65">
        <f t="shared" si="13"/>
        <v>6150</v>
      </c>
      <c r="O15" s="55">
        <f t="shared" si="5"/>
        <v>88000</v>
      </c>
      <c r="P15" s="43"/>
      <c r="Q15" s="41" t="s">
        <v>406</v>
      </c>
      <c r="R15" s="10"/>
      <c r="S15" s="10">
        <f t="shared" si="6"/>
        <v>88000</v>
      </c>
      <c r="T15" s="10">
        <f t="shared" si="7"/>
        <v>125714.28571428572</v>
      </c>
      <c r="U15" s="11">
        <f t="shared" si="8"/>
        <v>143673.46938775512</v>
      </c>
      <c r="V15" s="12">
        <f t="shared" si="9"/>
        <v>0.12500000000000003</v>
      </c>
      <c r="W15" s="11">
        <f t="shared" si="10"/>
        <v>143700</v>
      </c>
      <c r="X15" s="26">
        <f t="shared" si="11"/>
        <v>0.30000000000000004</v>
      </c>
      <c r="Y15" s="13"/>
      <c r="Z15" s="13"/>
      <c r="AA15" s="14"/>
    </row>
    <row r="16" spans="1:27" ht="14.4" customHeight="1">
      <c r="A16" s="75"/>
      <c r="B16" s="46"/>
      <c r="C16" s="56" t="s">
        <v>187</v>
      </c>
      <c r="D16" s="48" t="str">
        <f t="shared" si="0"/>
        <v xml:space="preserve"> 562</v>
      </c>
      <c r="E16" s="57" t="s">
        <v>187</v>
      </c>
      <c r="F16" s="50">
        <f t="shared" si="1"/>
        <v>0</v>
      </c>
      <c r="G16" s="51" t="s">
        <v>300</v>
      </c>
      <c r="H16" s="51" t="s">
        <v>315</v>
      </c>
      <c r="I16" s="51" t="s">
        <v>346</v>
      </c>
      <c r="J16" s="52">
        <v>83000</v>
      </c>
      <c r="K16" s="61">
        <f t="shared" si="4"/>
        <v>6150</v>
      </c>
      <c r="L16" s="50" t="s">
        <v>24</v>
      </c>
      <c r="M16" s="54">
        <f t="shared" si="12"/>
        <v>76850</v>
      </c>
      <c r="N16" s="65">
        <f t="shared" si="13"/>
        <v>6150</v>
      </c>
      <c r="O16" s="55">
        <f t="shared" si="5"/>
        <v>83000</v>
      </c>
      <c r="P16" s="43"/>
      <c r="Q16" s="41" t="s">
        <v>406</v>
      </c>
      <c r="R16" s="10"/>
      <c r="S16" s="10">
        <f t="shared" si="6"/>
        <v>83000</v>
      </c>
      <c r="T16" s="10">
        <f t="shared" si="7"/>
        <v>118571.42857142858</v>
      </c>
      <c r="U16" s="11">
        <f t="shared" si="8"/>
        <v>135510.20408163266</v>
      </c>
      <c r="V16" s="12">
        <f t="shared" si="9"/>
        <v>0.125</v>
      </c>
      <c r="W16" s="11">
        <f t="shared" si="10"/>
        <v>135600</v>
      </c>
      <c r="X16" s="26">
        <f t="shared" si="11"/>
        <v>0.30000000000000004</v>
      </c>
      <c r="Y16" s="13"/>
      <c r="Z16" s="13"/>
      <c r="AA16" s="14"/>
    </row>
    <row r="17" spans="1:27" ht="14.4" customHeight="1">
      <c r="A17" s="75"/>
      <c r="B17" s="46"/>
      <c r="C17" s="56" t="s">
        <v>27</v>
      </c>
      <c r="D17" s="48" t="str">
        <f t="shared" si="0"/>
        <v xml:space="preserve"> 432</v>
      </c>
      <c r="E17" s="57" t="s">
        <v>27</v>
      </c>
      <c r="F17" s="50">
        <f t="shared" si="1"/>
        <v>0</v>
      </c>
      <c r="G17" s="51" t="s">
        <v>21</v>
      </c>
      <c r="H17" s="51" t="s">
        <v>316</v>
      </c>
      <c r="I17" s="51" t="s">
        <v>346</v>
      </c>
      <c r="J17" s="52">
        <v>82500</v>
      </c>
      <c r="K17" s="61">
        <f t="shared" si="4"/>
        <v>6150</v>
      </c>
      <c r="L17" s="50" t="s">
        <v>24</v>
      </c>
      <c r="M17" s="54">
        <f t="shared" si="12"/>
        <v>76350</v>
      </c>
      <c r="N17" s="65">
        <f t="shared" si="13"/>
        <v>6150</v>
      </c>
      <c r="O17" s="55">
        <f t="shared" si="5"/>
        <v>82500</v>
      </c>
      <c r="P17" s="43"/>
      <c r="Q17" s="41" t="s">
        <v>406</v>
      </c>
      <c r="R17" s="10"/>
      <c r="S17" s="10">
        <f t="shared" si="6"/>
        <v>82500</v>
      </c>
      <c r="T17" s="10">
        <f t="shared" si="7"/>
        <v>117857.14285714287</v>
      </c>
      <c r="U17" s="11">
        <f t="shared" si="8"/>
        <v>134693.87755102041</v>
      </c>
      <c r="V17" s="12">
        <f t="shared" si="9"/>
        <v>0.12499999999999994</v>
      </c>
      <c r="W17" s="11">
        <f t="shared" si="10"/>
        <v>134700</v>
      </c>
      <c r="X17" s="26">
        <f t="shared" si="11"/>
        <v>0.3000000000000001</v>
      </c>
      <c r="Y17" s="36">
        <v>122150</v>
      </c>
      <c r="Z17" s="29">
        <f>T17-Y17</f>
        <v>-4292.8571428571304</v>
      </c>
      <c r="AA17" s="30">
        <f>Z17/Y17</f>
        <v>-3.5144143617332216E-2</v>
      </c>
    </row>
    <row r="18" spans="1:27" ht="14.4" customHeight="1">
      <c r="A18" s="75"/>
      <c r="B18" s="46"/>
      <c r="C18" s="56" t="s">
        <v>84</v>
      </c>
      <c r="D18" s="48" t="str">
        <f t="shared" si="0"/>
        <v xml:space="preserve"> 636</v>
      </c>
      <c r="E18" s="57" t="s">
        <v>84</v>
      </c>
      <c r="F18" s="50">
        <f t="shared" si="1"/>
        <v>0</v>
      </c>
      <c r="G18" s="51" t="s">
        <v>21</v>
      </c>
      <c r="H18" s="51" t="s">
        <v>316</v>
      </c>
      <c r="I18" s="51" t="s">
        <v>346</v>
      </c>
      <c r="J18" s="52">
        <v>82500</v>
      </c>
      <c r="K18" s="61">
        <f t="shared" si="4"/>
        <v>6150</v>
      </c>
      <c r="L18" s="50" t="s">
        <v>24</v>
      </c>
      <c r="M18" s="54">
        <f t="shared" si="12"/>
        <v>76350</v>
      </c>
      <c r="N18" s="65">
        <f t="shared" si="13"/>
        <v>6150</v>
      </c>
      <c r="O18" s="55">
        <f t="shared" si="5"/>
        <v>82500</v>
      </c>
      <c r="P18" s="43"/>
      <c r="Q18" s="41" t="s">
        <v>406</v>
      </c>
      <c r="R18" s="10"/>
      <c r="S18" s="10">
        <f t="shared" si="6"/>
        <v>82500</v>
      </c>
      <c r="T18" s="10">
        <f t="shared" si="7"/>
        <v>117857.14285714287</v>
      </c>
      <c r="U18" s="11">
        <f t="shared" si="8"/>
        <v>134693.87755102041</v>
      </c>
      <c r="V18" s="12">
        <f t="shared" si="9"/>
        <v>0.12499999999999994</v>
      </c>
      <c r="W18" s="11">
        <f t="shared" si="10"/>
        <v>134700</v>
      </c>
      <c r="X18" s="26">
        <f t="shared" si="11"/>
        <v>0.3000000000000001</v>
      </c>
      <c r="Y18" s="36">
        <v>120750</v>
      </c>
      <c r="Z18" s="29">
        <f>T18-Y18</f>
        <v>-2892.8571428571304</v>
      </c>
      <c r="AA18" s="30">
        <f>Z18/Y18</f>
        <v>-2.3957409050576649E-2</v>
      </c>
    </row>
    <row r="19" spans="1:27" ht="14.4" customHeight="1">
      <c r="A19" s="75"/>
      <c r="B19" s="46"/>
      <c r="C19" s="56" t="s">
        <v>26</v>
      </c>
      <c r="D19" s="48" t="str">
        <f t="shared" si="0"/>
        <v xml:space="preserve"> 368</v>
      </c>
      <c r="E19" s="57" t="s">
        <v>26</v>
      </c>
      <c r="F19" s="50">
        <f t="shared" si="1"/>
        <v>0</v>
      </c>
      <c r="G19" s="51" t="s">
        <v>21</v>
      </c>
      <c r="H19" s="51" t="s">
        <v>315</v>
      </c>
      <c r="I19" s="51" t="s">
        <v>346</v>
      </c>
      <c r="J19" s="52">
        <v>87500</v>
      </c>
      <c r="K19" s="61">
        <f t="shared" si="4"/>
        <v>6150</v>
      </c>
      <c r="L19" s="50" t="s">
        <v>24</v>
      </c>
      <c r="M19" s="54">
        <f t="shared" si="12"/>
        <v>81350</v>
      </c>
      <c r="N19" s="65">
        <f t="shared" si="13"/>
        <v>6150</v>
      </c>
      <c r="O19" s="55">
        <f t="shared" si="5"/>
        <v>87500</v>
      </c>
      <c r="P19" s="43"/>
      <c r="Q19" s="41" t="s">
        <v>406</v>
      </c>
      <c r="R19" s="10"/>
      <c r="S19" s="10">
        <f t="shared" si="6"/>
        <v>87500</v>
      </c>
      <c r="T19" s="10">
        <f t="shared" si="7"/>
        <v>125000.00000000001</v>
      </c>
      <c r="U19" s="11">
        <f t="shared" si="8"/>
        <v>142857.14285714287</v>
      </c>
      <c r="V19" s="12">
        <f t="shared" si="9"/>
        <v>0.12499999999999997</v>
      </c>
      <c r="W19" s="11">
        <f t="shared" si="10"/>
        <v>142900</v>
      </c>
      <c r="X19" s="26">
        <f t="shared" si="11"/>
        <v>0.3000000000000001</v>
      </c>
      <c r="Y19" s="36">
        <v>126438</v>
      </c>
      <c r="Z19" s="29">
        <f>T19-Y19</f>
        <v>-1437.9999999999854</v>
      </c>
      <c r="AA19" s="30">
        <f>Z19/Y19</f>
        <v>-1.1373163131336983E-2</v>
      </c>
    </row>
    <row r="20" spans="1:27" ht="14.4" customHeight="1">
      <c r="A20" s="75"/>
      <c r="B20" s="46"/>
      <c r="C20" s="56" t="s">
        <v>83</v>
      </c>
      <c r="D20" s="48" t="str">
        <f t="shared" si="0"/>
        <v xml:space="preserve"> 876</v>
      </c>
      <c r="E20" s="57" t="s">
        <v>83</v>
      </c>
      <c r="F20" s="50">
        <f t="shared" si="1"/>
        <v>0</v>
      </c>
      <c r="G20" s="51" t="s">
        <v>21</v>
      </c>
      <c r="H20" s="51" t="s">
        <v>315</v>
      </c>
      <c r="I20" s="51" t="s">
        <v>346</v>
      </c>
      <c r="J20" s="52">
        <v>87500</v>
      </c>
      <c r="K20" s="61">
        <f t="shared" si="4"/>
        <v>6150</v>
      </c>
      <c r="L20" s="50" t="s">
        <v>24</v>
      </c>
      <c r="M20" s="54">
        <f t="shared" si="12"/>
        <v>81350</v>
      </c>
      <c r="N20" s="65">
        <f t="shared" si="13"/>
        <v>6150</v>
      </c>
      <c r="O20" s="55">
        <f t="shared" si="5"/>
        <v>87500</v>
      </c>
      <c r="P20" s="43"/>
      <c r="Q20" s="41" t="s">
        <v>406</v>
      </c>
      <c r="R20" s="10"/>
      <c r="S20" s="10">
        <f t="shared" si="6"/>
        <v>87500</v>
      </c>
      <c r="T20" s="10">
        <f t="shared" si="7"/>
        <v>125000.00000000001</v>
      </c>
      <c r="U20" s="11">
        <f t="shared" si="8"/>
        <v>142857.14285714287</v>
      </c>
      <c r="V20" s="12">
        <f t="shared" si="9"/>
        <v>0.12499999999999997</v>
      </c>
      <c r="W20" s="11">
        <f t="shared" si="10"/>
        <v>142900</v>
      </c>
      <c r="X20" s="26">
        <f t="shared" si="11"/>
        <v>0.3000000000000001</v>
      </c>
      <c r="Y20" s="36">
        <v>126438</v>
      </c>
      <c r="Z20" s="29">
        <f>T20-Y20</f>
        <v>-1437.9999999999854</v>
      </c>
      <c r="AA20" s="30">
        <f>Z20/Y20</f>
        <v>-1.1373163131336983E-2</v>
      </c>
    </row>
    <row r="21" spans="1:27" ht="14.4" customHeight="1">
      <c r="A21" s="75"/>
      <c r="B21" s="46"/>
      <c r="C21" s="56" t="s">
        <v>188</v>
      </c>
      <c r="D21" s="48" t="str">
        <f t="shared" si="0"/>
        <v xml:space="preserve"> 333</v>
      </c>
      <c r="E21" s="57" t="s">
        <v>188</v>
      </c>
      <c r="F21" s="50">
        <f t="shared" si="1"/>
        <v>0</v>
      </c>
      <c r="G21" s="51" t="s">
        <v>300</v>
      </c>
      <c r="H21" s="51" t="s">
        <v>315</v>
      </c>
      <c r="I21" s="51" t="s">
        <v>346</v>
      </c>
      <c r="J21" s="52">
        <v>68000</v>
      </c>
      <c r="K21" s="61">
        <f t="shared" si="4"/>
        <v>3900</v>
      </c>
      <c r="L21" s="50" t="s">
        <v>24</v>
      </c>
      <c r="M21" s="54">
        <f t="shared" si="12"/>
        <v>64100</v>
      </c>
      <c r="N21" s="65">
        <f>2000+200+350+600+750</f>
        <v>3900</v>
      </c>
      <c r="O21" s="55">
        <f t="shared" si="5"/>
        <v>68000</v>
      </c>
      <c r="P21" s="43"/>
      <c r="Q21" s="41" t="s">
        <v>407</v>
      </c>
      <c r="R21" s="10"/>
      <c r="S21" s="10">
        <f t="shared" si="6"/>
        <v>68000</v>
      </c>
      <c r="T21" s="10">
        <f t="shared" si="7"/>
        <v>97142.857142857145</v>
      </c>
      <c r="U21" s="11">
        <f t="shared" si="8"/>
        <v>111020.40816326531</v>
      </c>
      <c r="V21" s="12">
        <f t="shared" si="9"/>
        <v>0.12500000000000003</v>
      </c>
      <c r="W21" s="11">
        <f t="shared" si="10"/>
        <v>111100</v>
      </c>
      <c r="X21" s="26">
        <f t="shared" si="11"/>
        <v>0.3</v>
      </c>
      <c r="Y21" s="13"/>
      <c r="Z21" s="13"/>
      <c r="AA21" s="13"/>
    </row>
    <row r="22" spans="1:27" ht="14.4" customHeight="1">
      <c r="A22" s="75"/>
      <c r="B22" s="46"/>
      <c r="C22" s="56" t="s">
        <v>189</v>
      </c>
      <c r="D22" s="48" t="str">
        <f t="shared" si="0"/>
        <v xml:space="preserve"> 435</v>
      </c>
      <c r="E22" s="57" t="s">
        <v>189</v>
      </c>
      <c r="F22" s="50">
        <f t="shared" si="1"/>
        <v>0</v>
      </c>
      <c r="G22" s="51" t="s">
        <v>300</v>
      </c>
      <c r="H22" s="51" t="s">
        <v>315</v>
      </c>
      <c r="I22" s="51" t="s">
        <v>346</v>
      </c>
      <c r="J22" s="52">
        <v>68000</v>
      </c>
      <c r="K22" s="61">
        <f t="shared" si="4"/>
        <v>3900</v>
      </c>
      <c r="L22" s="50" t="s">
        <v>24</v>
      </c>
      <c r="M22" s="54">
        <f t="shared" si="12"/>
        <v>64100</v>
      </c>
      <c r="N22" s="65">
        <f>2000+200+350+600+750</f>
        <v>3900</v>
      </c>
      <c r="O22" s="55">
        <f t="shared" si="5"/>
        <v>68000</v>
      </c>
      <c r="P22" s="43"/>
      <c r="Q22" s="41" t="s">
        <v>407</v>
      </c>
      <c r="R22" s="10"/>
      <c r="S22" s="10">
        <f t="shared" si="6"/>
        <v>68000</v>
      </c>
      <c r="T22" s="10">
        <f t="shared" si="7"/>
        <v>97142.857142857145</v>
      </c>
      <c r="U22" s="11">
        <f t="shared" si="8"/>
        <v>111020.40816326531</v>
      </c>
      <c r="V22" s="12">
        <f t="shared" si="9"/>
        <v>0.12500000000000003</v>
      </c>
      <c r="W22" s="11">
        <f t="shared" si="10"/>
        <v>111100</v>
      </c>
      <c r="X22" s="26">
        <f t="shared" si="11"/>
        <v>0.3</v>
      </c>
      <c r="Y22" s="13"/>
      <c r="Z22" s="13"/>
      <c r="AA22" s="13"/>
    </row>
    <row r="23" spans="1:27" ht="14.4" customHeight="1">
      <c r="A23" s="75"/>
      <c r="B23" s="46"/>
      <c r="C23" s="47" t="s">
        <v>123</v>
      </c>
      <c r="D23" s="48" t="str">
        <f t="shared" si="0"/>
        <v xml:space="preserve"> 249</v>
      </c>
      <c r="E23" s="49" t="s">
        <v>123</v>
      </c>
      <c r="F23" s="50">
        <f t="shared" si="1"/>
        <v>0</v>
      </c>
      <c r="G23" s="51" t="s">
        <v>300</v>
      </c>
      <c r="H23" s="51" t="s">
        <v>301</v>
      </c>
      <c r="I23" s="51" t="s">
        <v>331</v>
      </c>
      <c r="J23" s="52">
        <v>93000</v>
      </c>
      <c r="K23" s="53">
        <f t="shared" si="4"/>
        <v>6950</v>
      </c>
      <c r="L23" s="50" t="s">
        <v>24</v>
      </c>
      <c r="M23" s="54">
        <f t="shared" si="12"/>
        <v>86050</v>
      </c>
      <c r="N23" s="54">
        <f>2000+200+600+750+3000+400</f>
        <v>6950</v>
      </c>
      <c r="O23" s="55">
        <f t="shared" si="5"/>
        <v>93000</v>
      </c>
      <c r="P23" s="42"/>
      <c r="Q23" s="41" t="s">
        <v>471</v>
      </c>
      <c r="R23" s="10"/>
      <c r="S23" s="10">
        <f t="shared" si="6"/>
        <v>93000</v>
      </c>
      <c r="T23" s="10">
        <f t="shared" si="7"/>
        <v>132857.14285714287</v>
      </c>
      <c r="U23" s="11">
        <f t="shared" si="8"/>
        <v>151836.73469387757</v>
      </c>
      <c r="V23" s="12">
        <f t="shared" si="9"/>
        <v>0.12500000000000006</v>
      </c>
      <c r="W23" s="11">
        <f t="shared" si="10"/>
        <v>151900</v>
      </c>
      <c r="X23" s="26">
        <f t="shared" si="11"/>
        <v>0.30000000000000004</v>
      </c>
      <c r="Y23" s="13"/>
      <c r="Z23" s="13"/>
      <c r="AA23" s="13"/>
    </row>
    <row r="24" spans="1:27" ht="14.4" customHeight="1">
      <c r="A24" s="75"/>
      <c r="B24" s="46"/>
      <c r="C24" s="56" t="s">
        <v>96</v>
      </c>
      <c r="D24" s="48" t="str">
        <f t="shared" si="0"/>
        <v xml:space="preserve"> 853</v>
      </c>
      <c r="E24" s="57" t="s">
        <v>96</v>
      </c>
      <c r="F24" s="50">
        <f t="shared" si="1"/>
        <v>0</v>
      </c>
      <c r="G24" s="58" t="s">
        <v>21</v>
      </c>
      <c r="H24" s="51" t="s">
        <v>301</v>
      </c>
      <c r="I24" s="51" t="s">
        <v>331</v>
      </c>
      <c r="J24" s="52">
        <v>93000</v>
      </c>
      <c r="K24" s="59">
        <f t="shared" si="4"/>
        <v>6950</v>
      </c>
      <c r="L24" s="50" t="s">
        <v>24</v>
      </c>
      <c r="M24" s="54">
        <f t="shared" si="12"/>
        <v>86050</v>
      </c>
      <c r="N24" s="54">
        <f>2000+200+600+750+3000+400</f>
        <v>6950</v>
      </c>
      <c r="O24" s="55">
        <f t="shared" si="5"/>
        <v>93000</v>
      </c>
      <c r="P24" s="43"/>
      <c r="Q24" s="41" t="s">
        <v>471</v>
      </c>
      <c r="R24" s="10"/>
      <c r="S24" s="10">
        <f t="shared" si="6"/>
        <v>93000</v>
      </c>
      <c r="T24" s="10">
        <f t="shared" si="7"/>
        <v>132857.14285714287</v>
      </c>
      <c r="U24" s="11">
        <f t="shared" si="8"/>
        <v>151836.73469387757</v>
      </c>
      <c r="V24" s="12">
        <f t="shared" si="9"/>
        <v>0.12500000000000006</v>
      </c>
      <c r="W24" s="11">
        <f t="shared" si="10"/>
        <v>151900</v>
      </c>
      <c r="X24" s="26">
        <f t="shared" si="11"/>
        <v>0.30000000000000004</v>
      </c>
      <c r="Y24" s="36">
        <v>131513</v>
      </c>
      <c r="Z24" s="29">
        <f>T24-Y24</f>
        <v>1344.1428571428696</v>
      </c>
      <c r="AA24" s="30">
        <f>Z24/Y24</f>
        <v>1.0220608283157328E-2</v>
      </c>
    </row>
    <row r="25" spans="1:27" ht="14.4" customHeight="1">
      <c r="A25" s="75"/>
      <c r="B25" s="46"/>
      <c r="C25" s="56" t="s">
        <v>124</v>
      </c>
      <c r="D25" s="48" t="str">
        <f t="shared" si="0"/>
        <v xml:space="preserve"> 967</v>
      </c>
      <c r="E25" s="57" t="s">
        <v>124</v>
      </c>
      <c r="F25" s="50">
        <f t="shared" si="1"/>
        <v>0</v>
      </c>
      <c r="G25" s="58" t="s">
        <v>300</v>
      </c>
      <c r="H25" s="51" t="s">
        <v>302</v>
      </c>
      <c r="I25" s="51" t="s">
        <v>331</v>
      </c>
      <c r="J25" s="60">
        <v>93000</v>
      </c>
      <c r="K25" s="53">
        <f t="shared" si="4"/>
        <v>6950</v>
      </c>
      <c r="L25" s="50" t="s">
        <v>24</v>
      </c>
      <c r="M25" s="54">
        <f t="shared" si="12"/>
        <v>86050</v>
      </c>
      <c r="N25" s="54">
        <f>2000+200+600+750+3000+400</f>
        <v>6950</v>
      </c>
      <c r="O25" s="55">
        <f t="shared" si="5"/>
        <v>93000</v>
      </c>
      <c r="P25" s="42"/>
      <c r="Q25" s="41" t="s">
        <v>471</v>
      </c>
      <c r="R25" s="10"/>
      <c r="S25" s="10">
        <f t="shared" si="6"/>
        <v>93000</v>
      </c>
      <c r="T25" s="10">
        <f t="shared" si="7"/>
        <v>132857.14285714287</v>
      </c>
      <c r="U25" s="11">
        <f t="shared" si="8"/>
        <v>151836.73469387757</v>
      </c>
      <c r="V25" s="12">
        <f t="shared" si="9"/>
        <v>0.12500000000000006</v>
      </c>
      <c r="W25" s="11">
        <f t="shared" si="10"/>
        <v>151900</v>
      </c>
      <c r="X25" s="26">
        <f t="shared" si="11"/>
        <v>0.30000000000000004</v>
      </c>
      <c r="Y25" s="13"/>
      <c r="Z25" s="13"/>
      <c r="AA25" s="13"/>
    </row>
    <row r="26" spans="1:27" ht="14.4" customHeight="1">
      <c r="A26" s="75"/>
      <c r="B26" s="46"/>
      <c r="C26" s="56" t="s">
        <v>125</v>
      </c>
      <c r="D26" s="48" t="str">
        <f t="shared" si="0"/>
        <v xml:space="preserve"> 961</v>
      </c>
      <c r="E26" s="57" t="s">
        <v>125</v>
      </c>
      <c r="F26" s="50">
        <f t="shared" si="1"/>
        <v>0</v>
      </c>
      <c r="G26" s="58" t="s">
        <v>300</v>
      </c>
      <c r="H26" s="51" t="s">
        <v>303</v>
      </c>
      <c r="I26" s="51" t="s">
        <v>331</v>
      </c>
      <c r="J26" s="60">
        <v>93000</v>
      </c>
      <c r="K26" s="61">
        <f t="shared" si="4"/>
        <v>6950</v>
      </c>
      <c r="L26" s="50" t="s">
        <v>24</v>
      </c>
      <c r="M26" s="54">
        <f t="shared" si="12"/>
        <v>86050</v>
      </c>
      <c r="N26" s="54">
        <f>2000+200+600+750+3000+400</f>
        <v>6950</v>
      </c>
      <c r="O26" s="55">
        <f t="shared" si="5"/>
        <v>93000</v>
      </c>
      <c r="P26" s="43"/>
      <c r="Q26" s="41" t="s">
        <v>471</v>
      </c>
      <c r="R26" s="10"/>
      <c r="S26" s="10">
        <f t="shared" si="6"/>
        <v>93000</v>
      </c>
      <c r="T26" s="10">
        <f t="shared" si="7"/>
        <v>132857.14285714287</v>
      </c>
      <c r="U26" s="11">
        <f t="shared" si="8"/>
        <v>151836.73469387757</v>
      </c>
      <c r="V26" s="12">
        <f t="shared" si="9"/>
        <v>0.12500000000000006</v>
      </c>
      <c r="W26" s="11">
        <f t="shared" si="10"/>
        <v>151900</v>
      </c>
      <c r="X26" s="26">
        <f t="shared" si="11"/>
        <v>0.30000000000000004</v>
      </c>
      <c r="Y26" s="13"/>
      <c r="Z26" s="13"/>
      <c r="AA26" s="13"/>
    </row>
    <row r="27" spans="1:27" ht="14.4" customHeight="1">
      <c r="A27" s="75"/>
      <c r="B27" s="46"/>
      <c r="C27" s="56" t="s">
        <v>126</v>
      </c>
      <c r="D27" s="48" t="str">
        <f t="shared" si="0"/>
        <v xml:space="preserve"> 326</v>
      </c>
      <c r="E27" s="57" t="s">
        <v>126</v>
      </c>
      <c r="F27" s="50">
        <f t="shared" si="1"/>
        <v>0</v>
      </c>
      <c r="G27" s="58" t="s">
        <v>300</v>
      </c>
      <c r="H27" s="51" t="s">
        <v>35</v>
      </c>
      <c r="I27" s="51" t="s">
        <v>331</v>
      </c>
      <c r="J27" s="52">
        <v>93000</v>
      </c>
      <c r="K27" s="61">
        <f t="shared" si="4"/>
        <v>6950</v>
      </c>
      <c r="L27" s="50" t="s">
        <v>24</v>
      </c>
      <c r="M27" s="54">
        <f t="shared" si="12"/>
        <v>86050</v>
      </c>
      <c r="N27" s="54">
        <f>2000+200+600+750+3000+400</f>
        <v>6950</v>
      </c>
      <c r="O27" s="55">
        <f t="shared" si="5"/>
        <v>93000</v>
      </c>
      <c r="P27" s="44"/>
      <c r="Q27" s="41" t="s">
        <v>471</v>
      </c>
      <c r="R27" s="10"/>
      <c r="S27" s="10">
        <f t="shared" si="6"/>
        <v>93000</v>
      </c>
      <c r="T27" s="10">
        <f t="shared" si="7"/>
        <v>132857.14285714287</v>
      </c>
      <c r="U27" s="11">
        <f t="shared" si="8"/>
        <v>151836.73469387757</v>
      </c>
      <c r="V27" s="12">
        <f t="shared" si="9"/>
        <v>0.12500000000000006</v>
      </c>
      <c r="W27" s="11">
        <f t="shared" si="10"/>
        <v>151900</v>
      </c>
      <c r="X27" s="26">
        <f t="shared" si="11"/>
        <v>0.30000000000000004</v>
      </c>
      <c r="Y27" s="13"/>
      <c r="Z27" s="13"/>
      <c r="AA27" s="13"/>
    </row>
    <row r="28" spans="1:27" ht="14.4" customHeight="1">
      <c r="A28" s="75"/>
      <c r="B28" s="46"/>
      <c r="C28" s="56" t="s">
        <v>103</v>
      </c>
      <c r="D28" s="48" t="str">
        <f t="shared" si="0"/>
        <v xml:space="preserve"> 392</v>
      </c>
      <c r="E28" s="58" t="s">
        <v>103</v>
      </c>
      <c r="F28" s="50">
        <f t="shared" si="1"/>
        <v>0</v>
      </c>
      <c r="G28" s="51" t="s">
        <v>300</v>
      </c>
      <c r="H28" s="51"/>
      <c r="I28" s="51" t="s">
        <v>372</v>
      </c>
      <c r="J28" s="52">
        <v>0</v>
      </c>
      <c r="K28" s="61">
        <f t="shared" si="4"/>
        <v>0</v>
      </c>
      <c r="L28" s="50"/>
      <c r="M28" s="65">
        <v>0</v>
      </c>
      <c r="N28" s="65">
        <v>0</v>
      </c>
      <c r="O28" s="55">
        <f t="shared" si="5"/>
        <v>0</v>
      </c>
      <c r="P28" s="43"/>
      <c r="Q28" s="41" t="s">
        <v>467</v>
      </c>
      <c r="R28" s="10"/>
      <c r="S28" s="10">
        <f t="shared" si="6"/>
        <v>0</v>
      </c>
      <c r="T28" s="10">
        <f t="shared" si="7"/>
        <v>0</v>
      </c>
      <c r="U28" s="11">
        <f t="shared" si="8"/>
        <v>0</v>
      </c>
      <c r="V28" s="12" t="e">
        <f t="shared" si="9"/>
        <v>#DIV/0!</v>
      </c>
      <c r="W28" s="11">
        <f t="shared" si="10"/>
        <v>0</v>
      </c>
      <c r="X28" s="26" t="e">
        <f t="shared" si="11"/>
        <v>#DIV/0!</v>
      </c>
      <c r="Y28" s="13"/>
      <c r="Z28" s="13"/>
      <c r="AA28" s="13"/>
    </row>
    <row r="29" spans="1:27" ht="14.4" customHeight="1">
      <c r="A29" s="75"/>
      <c r="B29" s="46"/>
      <c r="C29" s="56" t="s">
        <v>285</v>
      </c>
      <c r="D29" s="48" t="str">
        <f t="shared" si="0"/>
        <v xml:space="preserve"> 977</v>
      </c>
      <c r="E29" s="57" t="s">
        <v>285</v>
      </c>
      <c r="F29" s="50">
        <f t="shared" si="1"/>
        <v>0</v>
      </c>
      <c r="G29" s="51" t="s">
        <v>300</v>
      </c>
      <c r="H29" s="51" t="s">
        <v>328</v>
      </c>
      <c r="I29" s="51" t="s">
        <v>372</v>
      </c>
      <c r="J29" s="62">
        <f t="shared" ref="J29:J40" si="14">M29</f>
        <v>39000</v>
      </c>
      <c r="K29" s="61">
        <f t="shared" si="4"/>
        <v>0</v>
      </c>
      <c r="L29" s="63" t="s">
        <v>23</v>
      </c>
      <c r="M29" s="67">
        <v>39000</v>
      </c>
      <c r="N29" s="65">
        <f>2000+200+250+600+650+2500</f>
        <v>6200</v>
      </c>
      <c r="O29" s="55">
        <f t="shared" si="5"/>
        <v>45200</v>
      </c>
      <c r="P29" s="43"/>
      <c r="Q29" s="41" t="s">
        <v>467</v>
      </c>
      <c r="R29" s="10"/>
      <c r="S29" s="10">
        <f t="shared" si="6"/>
        <v>45200</v>
      </c>
      <c r="T29" s="10">
        <f t="shared" si="7"/>
        <v>64571.428571428572</v>
      </c>
      <c r="U29" s="11">
        <f t="shared" si="8"/>
        <v>73795.918367346938</v>
      </c>
      <c r="V29" s="12">
        <f t="shared" si="9"/>
        <v>0.12499999999999997</v>
      </c>
      <c r="W29" s="11">
        <f t="shared" si="10"/>
        <v>73800</v>
      </c>
      <c r="X29" s="26">
        <f t="shared" si="11"/>
        <v>0.3</v>
      </c>
      <c r="Y29" s="13"/>
      <c r="Z29" s="13"/>
      <c r="AA29" s="14"/>
    </row>
    <row r="30" spans="1:27" ht="14.4" customHeight="1">
      <c r="A30" s="75"/>
      <c r="B30" s="46"/>
      <c r="C30" s="56" t="s">
        <v>286</v>
      </c>
      <c r="D30" s="48" t="str">
        <f t="shared" si="0"/>
        <v xml:space="preserve"> 776</v>
      </c>
      <c r="E30" s="57" t="s">
        <v>286</v>
      </c>
      <c r="F30" s="50">
        <f t="shared" si="1"/>
        <v>0</v>
      </c>
      <c r="G30" s="51" t="s">
        <v>300</v>
      </c>
      <c r="H30" s="51" t="s">
        <v>326</v>
      </c>
      <c r="I30" s="51" t="s">
        <v>372</v>
      </c>
      <c r="J30" s="62">
        <f t="shared" si="14"/>
        <v>69000</v>
      </c>
      <c r="K30" s="61">
        <f t="shared" si="4"/>
        <v>0</v>
      </c>
      <c r="L30" s="63" t="s">
        <v>23</v>
      </c>
      <c r="M30" s="67">
        <v>69000</v>
      </c>
      <c r="N30" s="65">
        <f t="shared" ref="N30:N40" si="15">2000+200+600+250+1000+3600+450</f>
        <v>8100</v>
      </c>
      <c r="O30" s="55">
        <f>N30+M30</f>
        <v>77100</v>
      </c>
      <c r="P30" s="43"/>
      <c r="Q30" s="41" t="s">
        <v>468</v>
      </c>
      <c r="R30" s="10"/>
      <c r="S30" s="10">
        <f t="shared" si="6"/>
        <v>77100</v>
      </c>
      <c r="T30" s="10">
        <f t="shared" si="7"/>
        <v>110142.85714285714</v>
      </c>
      <c r="U30" s="11">
        <f t="shared" si="8"/>
        <v>125877.55102040817</v>
      </c>
      <c r="V30" s="12">
        <f t="shared" si="9"/>
        <v>0.125</v>
      </c>
      <c r="W30" s="11">
        <f t="shared" si="10"/>
        <v>125900</v>
      </c>
      <c r="X30" s="71">
        <f t="shared" si="11"/>
        <v>0.3</v>
      </c>
      <c r="Y30" s="13"/>
      <c r="Z30" s="13"/>
      <c r="AA30" s="14"/>
    </row>
    <row r="31" spans="1:27" ht="14.4" customHeight="1">
      <c r="A31" s="75"/>
      <c r="B31" s="46"/>
      <c r="C31" s="56" t="s">
        <v>287</v>
      </c>
      <c r="D31" s="48" t="str">
        <f t="shared" si="0"/>
        <v xml:space="preserve"> 800</v>
      </c>
      <c r="E31" s="57" t="s">
        <v>287</v>
      </c>
      <c r="F31" s="50">
        <f t="shared" si="1"/>
        <v>0</v>
      </c>
      <c r="G31" s="51" t="s">
        <v>300</v>
      </c>
      <c r="H31" s="51" t="s">
        <v>326</v>
      </c>
      <c r="I31" s="51" t="s">
        <v>372</v>
      </c>
      <c r="J31" s="62">
        <f t="shared" si="14"/>
        <v>75000</v>
      </c>
      <c r="K31" s="61">
        <f t="shared" si="4"/>
        <v>0</v>
      </c>
      <c r="L31" s="63" t="s">
        <v>23</v>
      </c>
      <c r="M31" s="67">
        <v>75000</v>
      </c>
      <c r="N31" s="65">
        <f t="shared" si="15"/>
        <v>8100</v>
      </c>
      <c r="O31" s="55">
        <f>N31+M31</f>
        <v>83100</v>
      </c>
      <c r="P31" s="43"/>
      <c r="Q31" s="41" t="s">
        <v>468</v>
      </c>
      <c r="R31" s="10"/>
      <c r="S31" s="10">
        <f t="shared" si="6"/>
        <v>83100</v>
      </c>
      <c r="T31" s="10">
        <f t="shared" si="7"/>
        <v>118714.28571428572</v>
      </c>
      <c r="U31" s="11">
        <f t="shared" si="8"/>
        <v>135673.46938775512</v>
      </c>
      <c r="V31" s="12">
        <f t="shared" si="9"/>
        <v>0.12500000000000003</v>
      </c>
      <c r="W31" s="11">
        <f t="shared" si="10"/>
        <v>135700</v>
      </c>
      <c r="X31" s="71">
        <f t="shared" si="11"/>
        <v>0.30000000000000004</v>
      </c>
      <c r="Y31" s="13"/>
      <c r="Z31" s="13"/>
      <c r="AA31" s="14"/>
    </row>
    <row r="32" spans="1:27" ht="14.4" customHeight="1">
      <c r="A32" s="75"/>
      <c r="B32" s="46"/>
      <c r="C32" s="56" t="s">
        <v>288</v>
      </c>
      <c r="D32" s="48" t="str">
        <f t="shared" si="0"/>
        <v xml:space="preserve"> 583</v>
      </c>
      <c r="E32" s="57" t="s">
        <v>288</v>
      </c>
      <c r="F32" s="50">
        <f t="shared" si="1"/>
        <v>0</v>
      </c>
      <c r="G32" s="51" t="s">
        <v>300</v>
      </c>
      <c r="H32" s="51" t="s">
        <v>326</v>
      </c>
      <c r="I32" s="51" t="s">
        <v>372</v>
      </c>
      <c r="J32" s="62">
        <f t="shared" si="14"/>
        <v>75000</v>
      </c>
      <c r="K32" s="61">
        <f t="shared" si="4"/>
        <v>0</v>
      </c>
      <c r="L32" s="63" t="s">
        <v>23</v>
      </c>
      <c r="M32" s="67">
        <v>75000</v>
      </c>
      <c r="N32" s="65">
        <f t="shared" si="15"/>
        <v>8100</v>
      </c>
      <c r="O32" s="55">
        <f>N32+M32</f>
        <v>83100</v>
      </c>
      <c r="P32" s="43"/>
      <c r="Q32" s="41" t="s">
        <v>468</v>
      </c>
      <c r="R32" s="10"/>
      <c r="S32" s="10">
        <f t="shared" si="6"/>
        <v>83100</v>
      </c>
      <c r="T32" s="10">
        <f t="shared" si="7"/>
        <v>118714.28571428572</v>
      </c>
      <c r="U32" s="11">
        <f t="shared" si="8"/>
        <v>135673.46938775512</v>
      </c>
      <c r="V32" s="12">
        <f t="shared" si="9"/>
        <v>0.12500000000000003</v>
      </c>
      <c r="W32" s="11">
        <f t="shared" si="10"/>
        <v>135700</v>
      </c>
      <c r="X32" s="71">
        <f t="shared" si="11"/>
        <v>0.30000000000000004</v>
      </c>
      <c r="Y32" s="13"/>
      <c r="Z32" s="13"/>
      <c r="AA32" s="14"/>
    </row>
    <row r="33" spans="1:27" ht="14.4" customHeight="1">
      <c r="A33" s="75"/>
      <c r="B33" s="46"/>
      <c r="C33" s="56" t="s">
        <v>289</v>
      </c>
      <c r="D33" s="48" t="str">
        <f t="shared" si="0"/>
        <v xml:space="preserve"> 543</v>
      </c>
      <c r="E33" s="57" t="s">
        <v>289</v>
      </c>
      <c r="F33" s="50">
        <f t="shared" si="1"/>
        <v>0</v>
      </c>
      <c r="G33" s="51" t="s">
        <v>300</v>
      </c>
      <c r="H33" s="51" t="s">
        <v>326</v>
      </c>
      <c r="I33" s="51" t="s">
        <v>372</v>
      </c>
      <c r="J33" s="62">
        <f t="shared" si="14"/>
        <v>75000</v>
      </c>
      <c r="K33" s="61">
        <f t="shared" si="4"/>
        <v>0</v>
      </c>
      <c r="L33" s="63" t="s">
        <v>23</v>
      </c>
      <c r="M33" s="67">
        <v>75000</v>
      </c>
      <c r="N33" s="65">
        <f t="shared" si="15"/>
        <v>8100</v>
      </c>
      <c r="O33" s="55">
        <f>M33+N33</f>
        <v>83100</v>
      </c>
      <c r="P33" s="44"/>
      <c r="Q33" s="41" t="s">
        <v>468</v>
      </c>
      <c r="R33" s="10"/>
      <c r="S33" s="10">
        <f t="shared" si="6"/>
        <v>83100</v>
      </c>
      <c r="T33" s="10">
        <f t="shared" si="7"/>
        <v>118714.28571428572</v>
      </c>
      <c r="U33" s="11">
        <f t="shared" si="8"/>
        <v>135673.46938775512</v>
      </c>
      <c r="V33" s="12">
        <f t="shared" si="9"/>
        <v>0.12500000000000003</v>
      </c>
      <c r="W33" s="11">
        <f t="shared" si="10"/>
        <v>135700</v>
      </c>
      <c r="X33" s="71">
        <f t="shared" si="11"/>
        <v>0.30000000000000004</v>
      </c>
      <c r="Y33" s="13"/>
      <c r="Z33" s="13"/>
      <c r="AA33" s="13"/>
    </row>
    <row r="34" spans="1:27" ht="14.4" customHeight="1">
      <c r="A34" s="75"/>
      <c r="B34" s="46"/>
      <c r="C34" s="56" t="s">
        <v>290</v>
      </c>
      <c r="D34" s="48" t="str">
        <f t="shared" si="0"/>
        <v xml:space="preserve"> 803</v>
      </c>
      <c r="E34" s="57" t="s">
        <v>290</v>
      </c>
      <c r="F34" s="50">
        <f t="shared" si="1"/>
        <v>0</v>
      </c>
      <c r="G34" s="51" t="s">
        <v>300</v>
      </c>
      <c r="H34" s="51" t="s">
        <v>326</v>
      </c>
      <c r="I34" s="51" t="s">
        <v>372</v>
      </c>
      <c r="J34" s="62">
        <f t="shared" si="14"/>
        <v>75000</v>
      </c>
      <c r="K34" s="61">
        <f t="shared" si="4"/>
        <v>0</v>
      </c>
      <c r="L34" s="63" t="s">
        <v>23</v>
      </c>
      <c r="M34" s="67">
        <v>75000</v>
      </c>
      <c r="N34" s="65">
        <f t="shared" si="15"/>
        <v>8100</v>
      </c>
      <c r="O34" s="55">
        <f>N34+M34</f>
        <v>83100</v>
      </c>
      <c r="P34" s="43"/>
      <c r="Q34" s="41" t="s">
        <v>468</v>
      </c>
      <c r="R34" s="10"/>
      <c r="S34" s="10">
        <f t="shared" si="6"/>
        <v>83100</v>
      </c>
      <c r="T34" s="10">
        <f t="shared" si="7"/>
        <v>118714.28571428572</v>
      </c>
      <c r="U34" s="11">
        <f t="shared" si="8"/>
        <v>135673.46938775512</v>
      </c>
      <c r="V34" s="12">
        <f t="shared" si="9"/>
        <v>0.12500000000000003</v>
      </c>
      <c r="W34" s="11">
        <f t="shared" si="10"/>
        <v>135700</v>
      </c>
      <c r="X34" s="71">
        <f t="shared" si="11"/>
        <v>0.30000000000000004</v>
      </c>
      <c r="Y34" s="13"/>
      <c r="Z34" s="13"/>
      <c r="AA34" s="14"/>
    </row>
    <row r="35" spans="1:27" ht="14.4" customHeight="1">
      <c r="A35" s="75"/>
      <c r="B35" s="46"/>
      <c r="C35" s="56" t="s">
        <v>291</v>
      </c>
      <c r="D35" s="48" t="str">
        <f t="shared" si="0"/>
        <v xml:space="preserve"> 331</v>
      </c>
      <c r="E35" s="57" t="s">
        <v>291</v>
      </c>
      <c r="F35" s="50">
        <f t="shared" si="1"/>
        <v>0</v>
      </c>
      <c r="G35" s="51" t="s">
        <v>300</v>
      </c>
      <c r="H35" s="51" t="s">
        <v>326</v>
      </c>
      <c r="I35" s="51" t="s">
        <v>372</v>
      </c>
      <c r="J35" s="62">
        <f t="shared" si="14"/>
        <v>69000</v>
      </c>
      <c r="K35" s="61">
        <f t="shared" si="4"/>
        <v>0</v>
      </c>
      <c r="L35" s="63" t="s">
        <v>23</v>
      </c>
      <c r="M35" s="67">
        <v>69000</v>
      </c>
      <c r="N35" s="65">
        <f t="shared" si="15"/>
        <v>8100</v>
      </c>
      <c r="O35" s="55">
        <f t="shared" ref="O35:O47" si="16">M35+N35</f>
        <v>77100</v>
      </c>
      <c r="P35" s="44"/>
      <c r="Q35" s="41" t="s">
        <v>468</v>
      </c>
      <c r="R35" s="10"/>
      <c r="S35" s="10">
        <f t="shared" si="6"/>
        <v>77100</v>
      </c>
      <c r="T35" s="10">
        <f t="shared" si="7"/>
        <v>110142.85714285714</v>
      </c>
      <c r="U35" s="11">
        <f t="shared" si="8"/>
        <v>125877.55102040817</v>
      </c>
      <c r="V35" s="12">
        <f t="shared" si="9"/>
        <v>0.125</v>
      </c>
      <c r="W35" s="11">
        <f t="shared" si="10"/>
        <v>125900</v>
      </c>
      <c r="X35" s="71">
        <f t="shared" si="11"/>
        <v>0.3</v>
      </c>
      <c r="Y35" s="13"/>
      <c r="Z35" s="13"/>
      <c r="AA35" s="14"/>
    </row>
    <row r="36" spans="1:27" ht="14.4" customHeight="1">
      <c r="A36" s="75"/>
      <c r="B36" s="46"/>
      <c r="C36" s="56" t="s">
        <v>292</v>
      </c>
      <c r="D36" s="48" t="str">
        <f t="shared" si="0"/>
        <v xml:space="preserve"> 430</v>
      </c>
      <c r="E36" s="57" t="s">
        <v>292</v>
      </c>
      <c r="F36" s="50">
        <f t="shared" si="1"/>
        <v>0</v>
      </c>
      <c r="G36" s="51" t="s">
        <v>300</v>
      </c>
      <c r="H36" s="51" t="s">
        <v>326</v>
      </c>
      <c r="I36" s="51" t="s">
        <v>372</v>
      </c>
      <c r="J36" s="62">
        <f t="shared" si="14"/>
        <v>75000</v>
      </c>
      <c r="K36" s="61">
        <f t="shared" si="4"/>
        <v>0</v>
      </c>
      <c r="L36" s="63" t="s">
        <v>23</v>
      </c>
      <c r="M36" s="67">
        <v>75000</v>
      </c>
      <c r="N36" s="65">
        <f t="shared" si="15"/>
        <v>8100</v>
      </c>
      <c r="O36" s="55">
        <f t="shared" si="16"/>
        <v>83100</v>
      </c>
      <c r="P36" s="43"/>
      <c r="Q36" s="41" t="s">
        <v>468</v>
      </c>
      <c r="R36" s="10"/>
      <c r="S36" s="10">
        <f t="shared" si="6"/>
        <v>83100</v>
      </c>
      <c r="T36" s="10">
        <f t="shared" si="7"/>
        <v>118714.28571428572</v>
      </c>
      <c r="U36" s="11">
        <f t="shared" si="8"/>
        <v>135673.46938775512</v>
      </c>
      <c r="V36" s="12">
        <f t="shared" si="9"/>
        <v>0.12500000000000003</v>
      </c>
      <c r="W36" s="11">
        <f t="shared" si="10"/>
        <v>135700</v>
      </c>
      <c r="X36" s="71">
        <f t="shared" si="11"/>
        <v>0.30000000000000004</v>
      </c>
      <c r="Y36" s="13"/>
      <c r="Z36" s="13"/>
      <c r="AA36" s="13"/>
    </row>
    <row r="37" spans="1:27" ht="14.4" customHeight="1">
      <c r="A37" s="75"/>
      <c r="B37" s="46"/>
      <c r="C37" s="56" t="s">
        <v>293</v>
      </c>
      <c r="D37" s="48" t="str">
        <f t="shared" si="0"/>
        <v xml:space="preserve"> 940</v>
      </c>
      <c r="E37" s="57" t="s">
        <v>293</v>
      </c>
      <c r="F37" s="50">
        <f t="shared" si="1"/>
        <v>0</v>
      </c>
      <c r="G37" s="51" t="s">
        <v>300</v>
      </c>
      <c r="H37" s="51" t="s">
        <v>326</v>
      </c>
      <c r="I37" s="51" t="s">
        <v>372</v>
      </c>
      <c r="J37" s="62">
        <f t="shared" si="14"/>
        <v>65000</v>
      </c>
      <c r="K37" s="61">
        <f t="shared" si="4"/>
        <v>0</v>
      </c>
      <c r="L37" s="63" t="s">
        <v>23</v>
      </c>
      <c r="M37" s="67">
        <v>65000</v>
      </c>
      <c r="N37" s="65">
        <f t="shared" si="15"/>
        <v>8100</v>
      </c>
      <c r="O37" s="55">
        <f t="shared" si="16"/>
        <v>73100</v>
      </c>
      <c r="P37" s="43"/>
      <c r="Q37" s="41" t="s">
        <v>468</v>
      </c>
      <c r="R37" s="10"/>
      <c r="S37" s="10">
        <f t="shared" si="6"/>
        <v>73100</v>
      </c>
      <c r="T37" s="10">
        <f t="shared" si="7"/>
        <v>104428.57142857143</v>
      </c>
      <c r="U37" s="11">
        <f t="shared" si="8"/>
        <v>119346.93877551021</v>
      </c>
      <c r="V37" s="12">
        <f t="shared" si="9"/>
        <v>0.12499999999999997</v>
      </c>
      <c r="W37" s="11">
        <f t="shared" si="10"/>
        <v>119400</v>
      </c>
      <c r="X37" s="71">
        <f t="shared" si="11"/>
        <v>0.30000000000000004</v>
      </c>
      <c r="Y37" s="13"/>
      <c r="Z37" s="13"/>
      <c r="AA37" s="13"/>
    </row>
    <row r="38" spans="1:27" ht="14.4" customHeight="1">
      <c r="A38" s="75"/>
      <c r="B38" s="46"/>
      <c r="C38" s="56" t="s">
        <v>294</v>
      </c>
      <c r="D38" s="48" t="str">
        <f t="shared" si="0"/>
        <v xml:space="preserve"> 890</v>
      </c>
      <c r="E38" s="57" t="s">
        <v>294</v>
      </c>
      <c r="F38" s="50">
        <f t="shared" si="1"/>
        <v>0</v>
      </c>
      <c r="G38" s="51" t="s">
        <v>300</v>
      </c>
      <c r="H38" s="51" t="s">
        <v>326</v>
      </c>
      <c r="I38" s="51" t="s">
        <v>372</v>
      </c>
      <c r="J38" s="62">
        <f t="shared" si="14"/>
        <v>65000</v>
      </c>
      <c r="K38" s="61">
        <f t="shared" si="4"/>
        <v>0</v>
      </c>
      <c r="L38" s="63" t="s">
        <v>23</v>
      </c>
      <c r="M38" s="67">
        <v>65000</v>
      </c>
      <c r="N38" s="65">
        <f t="shared" si="15"/>
        <v>8100</v>
      </c>
      <c r="O38" s="55">
        <f t="shared" si="16"/>
        <v>73100</v>
      </c>
      <c r="P38" s="43"/>
      <c r="Q38" s="41" t="s">
        <v>468</v>
      </c>
      <c r="R38" s="10"/>
      <c r="S38" s="10">
        <f t="shared" si="6"/>
        <v>73100</v>
      </c>
      <c r="T38" s="10">
        <f t="shared" si="7"/>
        <v>104428.57142857143</v>
      </c>
      <c r="U38" s="11">
        <f t="shared" si="8"/>
        <v>119346.93877551021</v>
      </c>
      <c r="V38" s="12">
        <f t="shared" si="9"/>
        <v>0.12499999999999997</v>
      </c>
      <c r="W38" s="11">
        <f t="shared" si="10"/>
        <v>119400</v>
      </c>
      <c r="X38" s="71">
        <f t="shared" si="11"/>
        <v>0.30000000000000004</v>
      </c>
      <c r="Y38" s="13"/>
      <c r="Z38" s="13"/>
      <c r="AA38" s="14"/>
    </row>
    <row r="39" spans="1:27" ht="14.4" customHeight="1">
      <c r="A39" s="75"/>
      <c r="B39" s="46"/>
      <c r="C39" s="56" t="s">
        <v>295</v>
      </c>
      <c r="D39" s="48" t="str">
        <f t="shared" si="0"/>
        <v xml:space="preserve"> 618</v>
      </c>
      <c r="E39" s="57" t="s">
        <v>295</v>
      </c>
      <c r="F39" s="50">
        <f t="shared" si="1"/>
        <v>0</v>
      </c>
      <c r="G39" s="51" t="s">
        <v>300</v>
      </c>
      <c r="H39" s="51" t="s">
        <v>326</v>
      </c>
      <c r="I39" s="51" t="s">
        <v>372</v>
      </c>
      <c r="J39" s="62">
        <f t="shared" si="14"/>
        <v>91000</v>
      </c>
      <c r="K39" s="61">
        <f t="shared" si="4"/>
        <v>0</v>
      </c>
      <c r="L39" s="63" t="s">
        <v>23</v>
      </c>
      <c r="M39" s="67">
        <v>91000</v>
      </c>
      <c r="N39" s="65">
        <f t="shared" si="15"/>
        <v>8100</v>
      </c>
      <c r="O39" s="55">
        <f t="shared" si="16"/>
        <v>99100</v>
      </c>
      <c r="P39" s="43"/>
      <c r="Q39" s="41" t="s">
        <v>468</v>
      </c>
      <c r="R39" s="10"/>
      <c r="S39" s="10">
        <f t="shared" si="6"/>
        <v>99100</v>
      </c>
      <c r="T39" s="10">
        <f t="shared" si="7"/>
        <v>141571.42857142858</v>
      </c>
      <c r="U39" s="11">
        <f t="shared" si="8"/>
        <v>161795.91836734695</v>
      </c>
      <c r="V39" s="12">
        <f t="shared" si="9"/>
        <v>0.12500000000000003</v>
      </c>
      <c r="W39" s="11">
        <f t="shared" si="10"/>
        <v>161800</v>
      </c>
      <c r="X39" s="71">
        <f t="shared" si="11"/>
        <v>0.30000000000000004</v>
      </c>
      <c r="Y39" s="13"/>
      <c r="Z39" s="13"/>
      <c r="AA39" s="13"/>
    </row>
    <row r="40" spans="1:27" ht="14.4" customHeight="1">
      <c r="A40" s="75"/>
      <c r="B40" s="46"/>
      <c r="C40" s="56" t="s">
        <v>296</v>
      </c>
      <c r="D40" s="48" t="str">
        <f t="shared" si="0"/>
        <v xml:space="preserve"> 479</v>
      </c>
      <c r="E40" s="57" t="s">
        <v>296</v>
      </c>
      <c r="F40" s="50">
        <f t="shared" si="1"/>
        <v>0</v>
      </c>
      <c r="G40" s="51" t="s">
        <v>300</v>
      </c>
      <c r="H40" s="51" t="s">
        <v>326</v>
      </c>
      <c r="I40" s="51" t="s">
        <v>372</v>
      </c>
      <c r="J40" s="62">
        <f t="shared" si="14"/>
        <v>69000</v>
      </c>
      <c r="K40" s="61">
        <f t="shared" si="4"/>
        <v>0</v>
      </c>
      <c r="L40" s="63" t="s">
        <v>23</v>
      </c>
      <c r="M40" s="67">
        <v>69000</v>
      </c>
      <c r="N40" s="65">
        <f t="shared" si="15"/>
        <v>8100</v>
      </c>
      <c r="O40" s="55">
        <f t="shared" si="16"/>
        <v>77100</v>
      </c>
      <c r="P40" s="43"/>
      <c r="Q40" s="41" t="s">
        <v>468</v>
      </c>
      <c r="R40" s="10"/>
      <c r="S40" s="10">
        <f t="shared" si="6"/>
        <v>77100</v>
      </c>
      <c r="T40" s="10">
        <f t="shared" si="7"/>
        <v>110142.85714285714</v>
      </c>
      <c r="U40" s="11">
        <f t="shared" si="8"/>
        <v>125877.55102040817</v>
      </c>
      <c r="V40" s="12">
        <f t="shared" si="9"/>
        <v>0.125</v>
      </c>
      <c r="W40" s="11">
        <f t="shared" si="10"/>
        <v>125900</v>
      </c>
      <c r="X40" s="71">
        <f t="shared" si="11"/>
        <v>0.3</v>
      </c>
      <c r="Y40" s="13"/>
      <c r="Z40" s="13"/>
      <c r="AA40" s="14"/>
    </row>
    <row r="41" spans="1:27" ht="14.4" customHeight="1">
      <c r="A41" s="75"/>
      <c r="B41" s="46"/>
      <c r="C41" s="56" t="s">
        <v>167</v>
      </c>
      <c r="D41" s="48" t="str">
        <f t="shared" si="0"/>
        <v xml:space="preserve"> 685</v>
      </c>
      <c r="E41" s="57" t="s">
        <v>167</v>
      </c>
      <c r="F41" s="50">
        <f t="shared" si="1"/>
        <v>0</v>
      </c>
      <c r="G41" s="51" t="s">
        <v>300</v>
      </c>
      <c r="H41" s="51" t="s">
        <v>51</v>
      </c>
      <c r="I41" s="51" t="s">
        <v>341</v>
      </c>
      <c r="J41" s="52">
        <v>77000</v>
      </c>
      <c r="K41" s="61">
        <f t="shared" ref="K41:K72" si="17">J41-M41</f>
        <v>5900</v>
      </c>
      <c r="L41" s="50" t="s">
        <v>24</v>
      </c>
      <c r="M41" s="54">
        <f t="shared" ref="M41:M67" si="18">J41-N41</f>
        <v>71100</v>
      </c>
      <c r="N41" s="54">
        <f>2000+300+600+3000</f>
        <v>5900</v>
      </c>
      <c r="O41" s="55">
        <f t="shared" si="16"/>
        <v>77000</v>
      </c>
      <c r="P41" s="44"/>
      <c r="Q41" s="41" t="s">
        <v>384</v>
      </c>
      <c r="R41" s="10"/>
      <c r="S41" s="10">
        <f t="shared" ref="S41:S72" si="19">R41+O41</f>
        <v>77000</v>
      </c>
      <c r="T41" s="10">
        <f t="shared" ref="T41:T72" si="20">S41/0.7</f>
        <v>110000</v>
      </c>
      <c r="U41" s="11">
        <f t="shared" ref="U41:U72" si="21">T41/0.875</f>
        <v>125714.28571428571</v>
      </c>
      <c r="V41" s="12">
        <f t="shared" ref="V41:V72" si="22">(U41-T41)/U41</f>
        <v>0.12499999999999997</v>
      </c>
      <c r="W41" s="11">
        <f t="shared" ref="W41:W67" si="23">(ROUNDUP((U41/100),0))*100</f>
        <v>125800</v>
      </c>
      <c r="X41" s="26">
        <f t="shared" ref="X41:X67" si="24">(T41-O41)/T41</f>
        <v>0.3</v>
      </c>
      <c r="Y41" s="13"/>
      <c r="Z41" s="13"/>
      <c r="AA41" s="14"/>
    </row>
    <row r="42" spans="1:27" ht="14.4" customHeight="1">
      <c r="A42" s="75"/>
      <c r="B42" s="46"/>
      <c r="C42" s="56" t="s">
        <v>168</v>
      </c>
      <c r="D42" s="48" t="str">
        <f t="shared" si="0"/>
        <v xml:space="preserve"> 598</v>
      </c>
      <c r="E42" s="57" t="s">
        <v>168</v>
      </c>
      <c r="F42" s="50">
        <f t="shared" si="1"/>
        <v>0</v>
      </c>
      <c r="G42" s="51" t="s">
        <v>300</v>
      </c>
      <c r="H42" s="51" t="s">
        <v>51</v>
      </c>
      <c r="I42" s="51" t="s">
        <v>341</v>
      </c>
      <c r="J42" s="52">
        <v>74000</v>
      </c>
      <c r="K42" s="61">
        <f t="shared" si="17"/>
        <v>6550</v>
      </c>
      <c r="L42" s="50" t="s">
        <v>24</v>
      </c>
      <c r="M42" s="54">
        <f t="shared" si="18"/>
        <v>67450</v>
      </c>
      <c r="N42" s="54">
        <f>2000+300+600+650+3000</f>
        <v>6550</v>
      </c>
      <c r="O42" s="55">
        <f t="shared" si="16"/>
        <v>74000</v>
      </c>
      <c r="P42" s="43"/>
      <c r="Q42" s="41" t="s">
        <v>396</v>
      </c>
      <c r="R42" s="10"/>
      <c r="S42" s="10">
        <f t="shared" si="19"/>
        <v>74000</v>
      </c>
      <c r="T42" s="10">
        <f t="shared" si="20"/>
        <v>105714.28571428572</v>
      </c>
      <c r="U42" s="11">
        <f t="shared" si="21"/>
        <v>120816.32653061226</v>
      </c>
      <c r="V42" s="12">
        <f t="shared" si="22"/>
        <v>0.12500000000000006</v>
      </c>
      <c r="W42" s="11">
        <f t="shared" si="23"/>
        <v>120900</v>
      </c>
      <c r="X42" s="26">
        <f t="shared" si="24"/>
        <v>0.30000000000000004</v>
      </c>
      <c r="Y42" s="13"/>
      <c r="Z42" s="13"/>
      <c r="AA42" s="13"/>
    </row>
    <row r="43" spans="1:27" ht="14.4" customHeight="1">
      <c r="A43" s="75"/>
      <c r="B43" s="46"/>
      <c r="C43" s="56" t="s">
        <v>169</v>
      </c>
      <c r="D43" s="48" t="str">
        <f t="shared" si="0"/>
        <v xml:space="preserve"> 230</v>
      </c>
      <c r="E43" s="57" t="s">
        <v>169</v>
      </c>
      <c r="F43" s="50">
        <f t="shared" si="1"/>
        <v>0</v>
      </c>
      <c r="G43" s="51" t="s">
        <v>300</v>
      </c>
      <c r="H43" s="51" t="s">
        <v>51</v>
      </c>
      <c r="I43" s="51" t="s">
        <v>341</v>
      </c>
      <c r="J43" s="52">
        <v>77000</v>
      </c>
      <c r="K43" s="61">
        <f t="shared" si="17"/>
        <v>6500</v>
      </c>
      <c r="L43" s="50" t="s">
        <v>24</v>
      </c>
      <c r="M43" s="54">
        <f t="shared" si="18"/>
        <v>70500</v>
      </c>
      <c r="N43" s="54">
        <f>2000+300+600+3600</f>
        <v>6500</v>
      </c>
      <c r="O43" s="55">
        <f t="shared" si="16"/>
        <v>77000</v>
      </c>
      <c r="P43" s="43"/>
      <c r="Q43" s="41" t="s">
        <v>397</v>
      </c>
      <c r="R43" s="10"/>
      <c r="S43" s="10">
        <f t="shared" si="19"/>
        <v>77000</v>
      </c>
      <c r="T43" s="10">
        <f t="shared" si="20"/>
        <v>110000</v>
      </c>
      <c r="U43" s="11">
        <f t="shared" si="21"/>
        <v>125714.28571428571</v>
      </c>
      <c r="V43" s="12">
        <f t="shared" si="22"/>
        <v>0.12499999999999997</v>
      </c>
      <c r="W43" s="11">
        <f t="shared" si="23"/>
        <v>125800</v>
      </c>
      <c r="X43" s="26">
        <f t="shared" si="24"/>
        <v>0.3</v>
      </c>
      <c r="Y43" s="13"/>
      <c r="Z43" s="13"/>
      <c r="AA43" s="14"/>
    </row>
    <row r="44" spans="1:27" ht="14.4" customHeight="1">
      <c r="A44" s="75"/>
      <c r="B44" s="46"/>
      <c r="C44" s="56" t="s">
        <v>109</v>
      </c>
      <c r="D44" s="48" t="str">
        <f t="shared" si="0"/>
        <v xml:space="preserve"> 117</v>
      </c>
      <c r="E44" s="57" t="s">
        <v>109</v>
      </c>
      <c r="F44" s="50">
        <f t="shared" si="1"/>
        <v>0</v>
      </c>
      <c r="G44" s="51" t="s">
        <v>21</v>
      </c>
      <c r="H44" s="51" t="s">
        <v>321</v>
      </c>
      <c r="I44" s="51" t="s">
        <v>355</v>
      </c>
      <c r="J44" s="52">
        <v>68500</v>
      </c>
      <c r="K44" s="61">
        <f t="shared" si="17"/>
        <v>6150</v>
      </c>
      <c r="L44" s="50" t="s">
        <v>24</v>
      </c>
      <c r="M44" s="54">
        <f t="shared" si="18"/>
        <v>62350</v>
      </c>
      <c r="N44" s="65">
        <v>6150</v>
      </c>
      <c r="O44" s="55">
        <f t="shared" si="16"/>
        <v>68500</v>
      </c>
      <c r="P44" s="43"/>
      <c r="Q44" s="41" t="s">
        <v>420</v>
      </c>
      <c r="R44" s="10"/>
      <c r="S44" s="10">
        <f t="shared" si="19"/>
        <v>68500</v>
      </c>
      <c r="T44" s="10">
        <f t="shared" si="20"/>
        <v>97857.14285714287</v>
      </c>
      <c r="U44" s="11">
        <f t="shared" si="21"/>
        <v>111836.73469387756</v>
      </c>
      <c r="V44" s="12">
        <f t="shared" si="22"/>
        <v>0.12499999999999994</v>
      </c>
      <c r="W44" s="11">
        <f t="shared" si="23"/>
        <v>111900</v>
      </c>
      <c r="X44" s="26">
        <f t="shared" si="24"/>
        <v>0.3000000000000001</v>
      </c>
      <c r="Y44" s="36">
        <v>97913</v>
      </c>
      <c r="Z44" s="29">
        <f>T44-Y44</f>
        <v>-55.857142857130384</v>
      </c>
      <c r="AA44" s="30">
        <f>Z44/Y44</f>
        <v>-5.7047728960536791E-4</v>
      </c>
    </row>
    <row r="45" spans="1:27" ht="14.4" customHeight="1">
      <c r="A45" s="75"/>
      <c r="B45" s="46"/>
      <c r="C45" s="56" t="s">
        <v>30</v>
      </c>
      <c r="D45" s="48" t="str">
        <f t="shared" si="0"/>
        <v xml:space="preserve"> 615</v>
      </c>
      <c r="E45" s="58" t="s">
        <v>30</v>
      </c>
      <c r="F45" s="50">
        <f t="shared" si="1"/>
        <v>0</v>
      </c>
      <c r="G45" s="51" t="s">
        <v>21</v>
      </c>
      <c r="H45" s="51" t="s">
        <v>29</v>
      </c>
      <c r="I45" s="51" t="s">
        <v>355</v>
      </c>
      <c r="J45" s="52">
        <v>85000</v>
      </c>
      <c r="K45" s="61">
        <f t="shared" si="17"/>
        <v>6700</v>
      </c>
      <c r="L45" s="50" t="s">
        <v>24</v>
      </c>
      <c r="M45" s="54">
        <f t="shared" si="18"/>
        <v>78300</v>
      </c>
      <c r="N45" s="65">
        <f>2000+200+350+600+550+3000</f>
        <v>6700</v>
      </c>
      <c r="O45" s="55">
        <f t="shared" si="16"/>
        <v>85000</v>
      </c>
      <c r="P45" s="44"/>
      <c r="Q45" s="41" t="s">
        <v>421</v>
      </c>
      <c r="R45" s="10"/>
      <c r="S45" s="10">
        <f t="shared" si="19"/>
        <v>85000</v>
      </c>
      <c r="T45" s="10">
        <f t="shared" si="20"/>
        <v>121428.57142857143</v>
      </c>
      <c r="U45" s="11">
        <f t="shared" si="21"/>
        <v>138775.51020408163</v>
      </c>
      <c r="V45" s="12">
        <f t="shared" si="22"/>
        <v>0.12499999999999992</v>
      </c>
      <c r="W45" s="11">
        <f t="shared" si="23"/>
        <v>138800</v>
      </c>
      <c r="X45" s="26">
        <f t="shared" si="24"/>
        <v>0.30000000000000004</v>
      </c>
      <c r="Y45" s="36">
        <v>121450</v>
      </c>
      <c r="Z45" s="29">
        <f>T45-Y45</f>
        <v>-21.428571428565192</v>
      </c>
      <c r="AA45" s="30">
        <f>Z45/Y45</f>
        <v>-1.7643945186138487E-4</v>
      </c>
    </row>
    <row r="46" spans="1:27" ht="14.4" customHeight="1">
      <c r="A46" s="75"/>
      <c r="B46" s="46"/>
      <c r="C46" s="56" t="s">
        <v>32</v>
      </c>
      <c r="D46" s="48" t="str">
        <f t="shared" si="0"/>
        <v xml:space="preserve"> 603</v>
      </c>
      <c r="E46" s="57" t="s">
        <v>32</v>
      </c>
      <c r="F46" s="50">
        <f t="shared" si="1"/>
        <v>0</v>
      </c>
      <c r="G46" s="51" t="s">
        <v>21</v>
      </c>
      <c r="H46" s="51" t="s">
        <v>307</v>
      </c>
      <c r="I46" s="51" t="s">
        <v>355</v>
      </c>
      <c r="J46" s="52">
        <v>103000</v>
      </c>
      <c r="K46" s="61">
        <f t="shared" si="17"/>
        <v>6700</v>
      </c>
      <c r="L46" s="50" t="s">
        <v>24</v>
      </c>
      <c r="M46" s="54">
        <f t="shared" si="18"/>
        <v>96300</v>
      </c>
      <c r="N46" s="65">
        <f>2000+200+350+600+550+3000</f>
        <v>6700</v>
      </c>
      <c r="O46" s="55">
        <f t="shared" si="16"/>
        <v>103000</v>
      </c>
      <c r="P46" s="44"/>
      <c r="Q46" s="41" t="s">
        <v>421</v>
      </c>
      <c r="R46" s="10"/>
      <c r="S46" s="10">
        <f t="shared" si="19"/>
        <v>103000</v>
      </c>
      <c r="T46" s="10">
        <f t="shared" si="20"/>
        <v>147142.85714285716</v>
      </c>
      <c r="U46" s="11">
        <f t="shared" si="21"/>
        <v>168163.26530612246</v>
      </c>
      <c r="V46" s="12">
        <f t="shared" si="22"/>
        <v>0.12499999999999993</v>
      </c>
      <c r="W46" s="11">
        <f t="shared" si="23"/>
        <v>168200</v>
      </c>
      <c r="X46" s="26">
        <f t="shared" si="24"/>
        <v>0.3000000000000001</v>
      </c>
      <c r="Y46" s="36">
        <v>142888</v>
      </c>
      <c r="Z46" s="29">
        <f>T46-Y46</f>
        <v>4254.8571428571595</v>
      </c>
      <c r="AA46" s="30">
        <f>Z46/Y46</f>
        <v>2.9777568045302332E-2</v>
      </c>
    </row>
    <row r="47" spans="1:27" ht="14.4" customHeight="1">
      <c r="A47" s="75"/>
      <c r="B47" s="46"/>
      <c r="C47" s="56" t="s">
        <v>90</v>
      </c>
      <c r="D47" s="48" t="str">
        <f t="shared" si="0"/>
        <v xml:space="preserve"> 467</v>
      </c>
      <c r="E47" s="57" t="s">
        <v>90</v>
      </c>
      <c r="F47" s="50">
        <f t="shared" si="1"/>
        <v>0</v>
      </c>
      <c r="G47" s="51" t="s">
        <v>21</v>
      </c>
      <c r="H47" s="51" t="s">
        <v>307</v>
      </c>
      <c r="I47" s="51" t="s">
        <v>355</v>
      </c>
      <c r="J47" s="52">
        <v>104000</v>
      </c>
      <c r="K47" s="61">
        <f t="shared" si="17"/>
        <v>6700</v>
      </c>
      <c r="L47" s="50" t="s">
        <v>24</v>
      </c>
      <c r="M47" s="54">
        <f t="shared" si="18"/>
        <v>97300</v>
      </c>
      <c r="N47" s="65">
        <f>2000+200+350+600+550+3000</f>
        <v>6700</v>
      </c>
      <c r="O47" s="55">
        <f t="shared" si="16"/>
        <v>104000</v>
      </c>
      <c r="P47" s="44"/>
      <c r="Q47" s="41" t="s">
        <v>421</v>
      </c>
      <c r="R47" s="10"/>
      <c r="S47" s="10">
        <f t="shared" si="19"/>
        <v>104000</v>
      </c>
      <c r="T47" s="10">
        <f t="shared" si="20"/>
        <v>148571.42857142858</v>
      </c>
      <c r="U47" s="11">
        <f t="shared" si="21"/>
        <v>169795.91836734695</v>
      </c>
      <c r="V47" s="12">
        <f t="shared" si="22"/>
        <v>0.12500000000000003</v>
      </c>
      <c r="W47" s="11">
        <f t="shared" si="23"/>
        <v>169800</v>
      </c>
      <c r="X47" s="26">
        <f t="shared" si="24"/>
        <v>0.30000000000000004</v>
      </c>
      <c r="Y47" s="36">
        <v>145775</v>
      </c>
      <c r="Z47" s="29">
        <f>T47-Y47</f>
        <v>2796.4285714285797</v>
      </c>
      <c r="AA47" s="30">
        <f>Z47/Y47</f>
        <v>1.9183183477472679E-2</v>
      </c>
    </row>
    <row r="48" spans="1:27" ht="14.4" customHeight="1">
      <c r="A48" s="75"/>
      <c r="B48" s="46"/>
      <c r="C48" s="56" t="s">
        <v>217</v>
      </c>
      <c r="D48" s="48" t="str">
        <f t="shared" si="0"/>
        <v xml:space="preserve"> 469</v>
      </c>
      <c r="E48" s="57" t="s">
        <v>217</v>
      </c>
      <c r="F48" s="50">
        <f t="shared" si="1"/>
        <v>0</v>
      </c>
      <c r="G48" s="51" t="s">
        <v>300</v>
      </c>
      <c r="H48" s="51" t="s">
        <v>304</v>
      </c>
      <c r="I48" s="51" t="s">
        <v>355</v>
      </c>
      <c r="J48" s="52">
        <v>74000</v>
      </c>
      <c r="K48" s="61">
        <f t="shared" si="17"/>
        <v>4250</v>
      </c>
      <c r="L48" s="50" t="s">
        <v>24</v>
      </c>
      <c r="M48" s="54">
        <f t="shared" si="18"/>
        <v>69750</v>
      </c>
      <c r="N48" s="65">
        <f>2000+200+350+600+300+800</f>
        <v>4250</v>
      </c>
      <c r="O48" s="55">
        <f>N48+M48</f>
        <v>74000</v>
      </c>
      <c r="P48" s="44"/>
      <c r="Q48" s="41" t="s">
        <v>422</v>
      </c>
      <c r="R48" s="10"/>
      <c r="S48" s="10">
        <f t="shared" si="19"/>
        <v>74000</v>
      </c>
      <c r="T48" s="10">
        <f t="shared" si="20"/>
        <v>105714.28571428572</v>
      </c>
      <c r="U48" s="11">
        <f t="shared" si="21"/>
        <v>120816.32653061226</v>
      </c>
      <c r="V48" s="12">
        <f t="shared" si="22"/>
        <v>0.12500000000000006</v>
      </c>
      <c r="W48" s="11">
        <f t="shared" si="23"/>
        <v>120900</v>
      </c>
      <c r="X48" s="26">
        <f t="shared" si="24"/>
        <v>0.30000000000000004</v>
      </c>
      <c r="Y48" s="13"/>
      <c r="Z48" s="13"/>
      <c r="AA48" s="14"/>
    </row>
    <row r="49" spans="1:27" ht="14.4" customHeight="1">
      <c r="A49" s="75"/>
      <c r="B49" s="46"/>
      <c r="C49" s="56" t="s">
        <v>218</v>
      </c>
      <c r="D49" s="48" t="str">
        <f t="shared" si="0"/>
        <v xml:space="preserve"> 589</v>
      </c>
      <c r="E49" s="57" t="s">
        <v>218</v>
      </c>
      <c r="F49" s="50">
        <f t="shared" si="1"/>
        <v>0</v>
      </c>
      <c r="G49" s="51" t="s">
        <v>300</v>
      </c>
      <c r="H49" s="51" t="s">
        <v>321</v>
      </c>
      <c r="I49" s="51" t="s">
        <v>355</v>
      </c>
      <c r="J49" s="52">
        <v>72500</v>
      </c>
      <c r="K49" s="61">
        <f t="shared" si="17"/>
        <v>4250</v>
      </c>
      <c r="L49" s="50" t="s">
        <v>24</v>
      </c>
      <c r="M49" s="54">
        <f t="shared" si="18"/>
        <v>68250</v>
      </c>
      <c r="N49" s="65">
        <f>2000+200+350+600+300+800</f>
        <v>4250</v>
      </c>
      <c r="O49" s="55">
        <f>M49+N49</f>
        <v>72500</v>
      </c>
      <c r="P49" s="43"/>
      <c r="Q49" s="41" t="s">
        <v>422</v>
      </c>
      <c r="R49" s="10"/>
      <c r="S49" s="10">
        <f t="shared" si="19"/>
        <v>72500</v>
      </c>
      <c r="T49" s="10">
        <f t="shared" si="20"/>
        <v>103571.42857142858</v>
      </c>
      <c r="U49" s="11">
        <f t="shared" si="21"/>
        <v>118367.34693877552</v>
      </c>
      <c r="V49" s="12">
        <f t="shared" si="22"/>
        <v>0.12499999999999999</v>
      </c>
      <c r="W49" s="11">
        <f t="shared" si="23"/>
        <v>118400</v>
      </c>
      <c r="X49" s="26">
        <f t="shared" si="24"/>
        <v>0.30000000000000004</v>
      </c>
      <c r="Y49" s="13"/>
      <c r="Z49" s="13"/>
      <c r="AA49" s="13"/>
    </row>
    <row r="50" spans="1:27" ht="14.4" customHeight="1">
      <c r="A50" s="75"/>
      <c r="B50" s="46"/>
      <c r="C50" s="56" t="s">
        <v>219</v>
      </c>
      <c r="D50" s="48" t="str">
        <f t="shared" si="0"/>
        <v xml:space="preserve"> 992</v>
      </c>
      <c r="E50" s="57" t="s">
        <v>219</v>
      </c>
      <c r="F50" s="50">
        <f t="shared" si="1"/>
        <v>0</v>
      </c>
      <c r="G50" s="51" t="s">
        <v>300</v>
      </c>
      <c r="H50" s="51" t="s">
        <v>321</v>
      </c>
      <c r="I50" s="51" t="s">
        <v>355</v>
      </c>
      <c r="J50" s="52">
        <v>72500</v>
      </c>
      <c r="K50" s="61">
        <f t="shared" si="17"/>
        <v>4250</v>
      </c>
      <c r="L50" s="50" t="s">
        <v>24</v>
      </c>
      <c r="M50" s="54">
        <f t="shared" si="18"/>
        <v>68250</v>
      </c>
      <c r="N50" s="65">
        <f>2000+200+350+600+300+800</f>
        <v>4250</v>
      </c>
      <c r="O50" s="55">
        <f>N50+M50</f>
        <v>72500</v>
      </c>
      <c r="P50" s="43"/>
      <c r="Q50" s="41" t="s">
        <v>422</v>
      </c>
      <c r="R50" s="10"/>
      <c r="S50" s="10">
        <f t="shared" si="19"/>
        <v>72500</v>
      </c>
      <c r="T50" s="10">
        <f t="shared" si="20"/>
        <v>103571.42857142858</v>
      </c>
      <c r="U50" s="11">
        <f t="shared" si="21"/>
        <v>118367.34693877552</v>
      </c>
      <c r="V50" s="12">
        <f t="shared" si="22"/>
        <v>0.12499999999999999</v>
      </c>
      <c r="W50" s="11">
        <f t="shared" si="23"/>
        <v>118400</v>
      </c>
      <c r="X50" s="26">
        <f t="shared" si="24"/>
        <v>0.30000000000000004</v>
      </c>
      <c r="Y50" s="13"/>
      <c r="Z50" s="13"/>
      <c r="AA50" s="13"/>
    </row>
    <row r="51" spans="1:27" ht="14.4" customHeight="1">
      <c r="A51" s="75"/>
      <c r="B51" s="46"/>
      <c r="C51" s="56" t="s">
        <v>220</v>
      </c>
      <c r="D51" s="48" t="str">
        <f t="shared" si="0"/>
        <v xml:space="preserve"> 606</v>
      </c>
      <c r="E51" s="57" t="s">
        <v>220</v>
      </c>
      <c r="F51" s="50">
        <f t="shared" si="1"/>
        <v>0</v>
      </c>
      <c r="G51" s="51" t="s">
        <v>300</v>
      </c>
      <c r="H51" s="51" t="s">
        <v>321</v>
      </c>
      <c r="I51" s="51" t="s">
        <v>355</v>
      </c>
      <c r="J51" s="52">
        <v>74000</v>
      </c>
      <c r="K51" s="61">
        <f t="shared" si="17"/>
        <v>4250</v>
      </c>
      <c r="L51" s="50" t="s">
        <v>24</v>
      </c>
      <c r="M51" s="54">
        <f t="shared" si="18"/>
        <v>69750</v>
      </c>
      <c r="N51" s="65">
        <f>2000+200+350+600+300+800</f>
        <v>4250</v>
      </c>
      <c r="O51" s="55">
        <f t="shared" ref="O51:O67" si="25">M51+N51</f>
        <v>74000</v>
      </c>
      <c r="P51" s="44"/>
      <c r="Q51" s="41" t="s">
        <v>422</v>
      </c>
      <c r="R51" s="10"/>
      <c r="S51" s="10">
        <f t="shared" si="19"/>
        <v>74000</v>
      </c>
      <c r="T51" s="10">
        <f t="shared" si="20"/>
        <v>105714.28571428572</v>
      </c>
      <c r="U51" s="11">
        <f t="shared" si="21"/>
        <v>120816.32653061226</v>
      </c>
      <c r="V51" s="12">
        <f t="shared" si="22"/>
        <v>0.12500000000000006</v>
      </c>
      <c r="W51" s="11">
        <f t="shared" si="23"/>
        <v>120900</v>
      </c>
      <c r="X51" s="26">
        <f t="shared" si="24"/>
        <v>0.30000000000000004</v>
      </c>
      <c r="Y51" s="13"/>
      <c r="Z51" s="13"/>
      <c r="AA51" s="13"/>
    </row>
    <row r="52" spans="1:27" ht="14.4" customHeight="1">
      <c r="A52" s="75"/>
      <c r="B52" s="46"/>
      <c r="C52" s="56" t="s">
        <v>67</v>
      </c>
      <c r="D52" s="48" t="str">
        <f t="shared" si="0"/>
        <v xml:space="preserve"> 192</v>
      </c>
      <c r="E52" s="57" t="s">
        <v>67</v>
      </c>
      <c r="F52" s="50">
        <f t="shared" si="1"/>
        <v>0</v>
      </c>
      <c r="G52" s="51" t="s">
        <v>21</v>
      </c>
      <c r="H52" s="51" t="s">
        <v>311</v>
      </c>
      <c r="I52" s="51" t="s">
        <v>354</v>
      </c>
      <c r="J52" s="52">
        <v>29000</v>
      </c>
      <c r="K52" s="61">
        <f t="shared" si="17"/>
        <v>4450</v>
      </c>
      <c r="L52" s="50" t="s">
        <v>24</v>
      </c>
      <c r="M52" s="54">
        <f t="shared" si="18"/>
        <v>24550</v>
      </c>
      <c r="N52" s="65">
        <f>2000+200+600+1650</f>
        <v>4450</v>
      </c>
      <c r="O52" s="55">
        <f t="shared" si="25"/>
        <v>29000</v>
      </c>
      <c r="P52" s="43"/>
      <c r="Q52" s="41" t="s">
        <v>418</v>
      </c>
      <c r="R52" s="10"/>
      <c r="S52" s="10">
        <f t="shared" si="19"/>
        <v>29000</v>
      </c>
      <c r="T52" s="10">
        <f t="shared" si="20"/>
        <v>41428.571428571435</v>
      </c>
      <c r="U52" s="11">
        <f t="shared" si="21"/>
        <v>47346.938775510214</v>
      </c>
      <c r="V52" s="12">
        <f t="shared" si="22"/>
        <v>0.12500000000000006</v>
      </c>
      <c r="W52" s="11">
        <f t="shared" si="23"/>
        <v>47400</v>
      </c>
      <c r="X52" s="26">
        <f t="shared" si="24"/>
        <v>0.3000000000000001</v>
      </c>
      <c r="Y52" s="36">
        <v>46463</v>
      </c>
      <c r="Z52" s="29">
        <f>T52-Y52</f>
        <v>-5034.4285714285652</v>
      </c>
      <c r="AA52" s="30">
        <f>Z52/Y52</f>
        <v>-0.10835349786773486</v>
      </c>
    </row>
    <row r="53" spans="1:27" ht="14.4" customHeight="1">
      <c r="A53" s="75"/>
      <c r="B53" s="46"/>
      <c r="C53" s="56" t="s">
        <v>210</v>
      </c>
      <c r="D53" s="48" t="str">
        <f t="shared" si="0"/>
        <v xml:space="preserve"> 454</v>
      </c>
      <c r="E53" s="57" t="s">
        <v>210</v>
      </c>
      <c r="F53" s="50">
        <f t="shared" si="1"/>
        <v>0</v>
      </c>
      <c r="G53" s="51" t="s">
        <v>300</v>
      </c>
      <c r="H53" s="51" t="s">
        <v>311</v>
      </c>
      <c r="I53" s="51" t="s">
        <v>354</v>
      </c>
      <c r="J53" s="52">
        <v>29000</v>
      </c>
      <c r="K53" s="61">
        <f t="shared" si="17"/>
        <v>4450</v>
      </c>
      <c r="L53" s="50" t="s">
        <v>24</v>
      </c>
      <c r="M53" s="54">
        <f t="shared" si="18"/>
        <v>24550</v>
      </c>
      <c r="N53" s="65">
        <f>2000+200+600+1650</f>
        <v>4450</v>
      </c>
      <c r="O53" s="55">
        <f t="shared" si="25"/>
        <v>29000</v>
      </c>
      <c r="P53" s="43"/>
      <c r="Q53" s="41" t="s">
        <v>418</v>
      </c>
      <c r="R53" s="10"/>
      <c r="S53" s="10">
        <f t="shared" si="19"/>
        <v>29000</v>
      </c>
      <c r="T53" s="10">
        <f t="shared" si="20"/>
        <v>41428.571428571435</v>
      </c>
      <c r="U53" s="11">
        <f t="shared" si="21"/>
        <v>47346.938775510214</v>
      </c>
      <c r="V53" s="12">
        <f t="shared" si="22"/>
        <v>0.12500000000000006</v>
      </c>
      <c r="W53" s="11">
        <f t="shared" si="23"/>
        <v>47400</v>
      </c>
      <c r="X53" s="26">
        <f t="shared" si="24"/>
        <v>0.3000000000000001</v>
      </c>
      <c r="Y53" s="13"/>
      <c r="Z53" s="13"/>
      <c r="AA53" s="13"/>
    </row>
    <row r="54" spans="1:27" ht="14.4" customHeight="1">
      <c r="A54" s="75"/>
      <c r="B54" s="46"/>
      <c r="C54" s="56" t="s">
        <v>211</v>
      </c>
      <c r="D54" s="48" t="str">
        <f t="shared" si="0"/>
        <v xml:space="preserve"> 710</v>
      </c>
      <c r="E54" s="57" t="s">
        <v>211</v>
      </c>
      <c r="F54" s="50">
        <f t="shared" si="1"/>
        <v>0</v>
      </c>
      <c r="G54" s="51" t="s">
        <v>300</v>
      </c>
      <c r="H54" s="51" t="s">
        <v>311</v>
      </c>
      <c r="I54" s="51" t="s">
        <v>354</v>
      </c>
      <c r="J54" s="52">
        <v>30000</v>
      </c>
      <c r="K54" s="61">
        <f t="shared" si="17"/>
        <v>4450</v>
      </c>
      <c r="L54" s="50" t="s">
        <v>24</v>
      </c>
      <c r="M54" s="54">
        <f t="shared" si="18"/>
        <v>25550</v>
      </c>
      <c r="N54" s="65">
        <f>2000+200+600+1650</f>
        <v>4450</v>
      </c>
      <c r="O54" s="55">
        <f t="shared" si="25"/>
        <v>30000</v>
      </c>
      <c r="P54" s="43"/>
      <c r="Q54" s="41" t="s">
        <v>418</v>
      </c>
      <c r="R54" s="10"/>
      <c r="S54" s="10">
        <f t="shared" si="19"/>
        <v>30000</v>
      </c>
      <c r="T54" s="10">
        <f t="shared" si="20"/>
        <v>42857.142857142862</v>
      </c>
      <c r="U54" s="11">
        <f t="shared" si="21"/>
        <v>48979.591836734697</v>
      </c>
      <c r="V54" s="12">
        <f t="shared" si="22"/>
        <v>0.12499999999999994</v>
      </c>
      <c r="W54" s="11">
        <f t="shared" si="23"/>
        <v>49000</v>
      </c>
      <c r="X54" s="26">
        <f t="shared" si="24"/>
        <v>0.3000000000000001</v>
      </c>
      <c r="Y54" s="13"/>
      <c r="Z54" s="13"/>
      <c r="AA54" s="14"/>
    </row>
    <row r="55" spans="1:27" ht="14.4" customHeight="1">
      <c r="A55" s="75"/>
      <c r="B55" s="46"/>
      <c r="C55" s="56" t="s">
        <v>483</v>
      </c>
      <c r="D55" s="48" t="str">
        <f t="shared" si="0"/>
        <v xml:space="preserve"> 730</v>
      </c>
      <c r="E55" s="58" t="s">
        <v>483</v>
      </c>
      <c r="F55" s="50">
        <f t="shared" si="1"/>
        <v>0</v>
      </c>
      <c r="G55" s="51" t="s">
        <v>300</v>
      </c>
      <c r="H55" s="51" t="s">
        <v>311</v>
      </c>
      <c r="I55" s="51" t="s">
        <v>354</v>
      </c>
      <c r="J55" s="52">
        <v>29000</v>
      </c>
      <c r="K55" s="61">
        <f t="shared" si="17"/>
        <v>4450</v>
      </c>
      <c r="L55" s="50" t="s">
        <v>24</v>
      </c>
      <c r="M55" s="54">
        <f t="shared" si="18"/>
        <v>24550</v>
      </c>
      <c r="N55" s="65">
        <f>2000+200+600+1650</f>
        <v>4450</v>
      </c>
      <c r="O55" s="55">
        <f t="shared" si="25"/>
        <v>29000</v>
      </c>
      <c r="P55" s="43"/>
      <c r="Q55" s="41" t="s">
        <v>418</v>
      </c>
      <c r="R55" s="10"/>
      <c r="S55" s="10">
        <f t="shared" si="19"/>
        <v>29000</v>
      </c>
      <c r="T55" s="10">
        <f t="shared" si="20"/>
        <v>41428.571428571435</v>
      </c>
      <c r="U55" s="11">
        <f t="shared" si="21"/>
        <v>47346.938775510214</v>
      </c>
      <c r="V55" s="12">
        <f t="shared" si="22"/>
        <v>0.12500000000000006</v>
      </c>
      <c r="W55" s="11">
        <f t="shared" si="23"/>
        <v>47400</v>
      </c>
      <c r="X55" s="26">
        <f t="shared" si="24"/>
        <v>0.3000000000000001</v>
      </c>
      <c r="Y55" s="13"/>
      <c r="Z55" s="13"/>
      <c r="AA55" s="13"/>
    </row>
    <row r="56" spans="1:27" ht="14.4" customHeight="1">
      <c r="A56" s="75"/>
      <c r="B56" s="46"/>
      <c r="C56" s="56" t="s">
        <v>212</v>
      </c>
      <c r="D56" s="48" t="str">
        <f t="shared" si="0"/>
        <v xml:space="preserve"> 665</v>
      </c>
      <c r="E56" s="57" t="s">
        <v>212</v>
      </c>
      <c r="F56" s="50">
        <f t="shared" si="1"/>
        <v>0</v>
      </c>
      <c r="G56" s="51" t="s">
        <v>300</v>
      </c>
      <c r="H56" s="51" t="s">
        <v>311</v>
      </c>
      <c r="I56" s="51" t="s">
        <v>354</v>
      </c>
      <c r="J56" s="52">
        <v>29000</v>
      </c>
      <c r="K56" s="61">
        <f t="shared" si="17"/>
        <v>4450</v>
      </c>
      <c r="L56" s="50" t="s">
        <v>24</v>
      </c>
      <c r="M56" s="54">
        <f t="shared" si="18"/>
        <v>24550</v>
      </c>
      <c r="N56" s="65">
        <f>2000+200+600+1650</f>
        <v>4450</v>
      </c>
      <c r="O56" s="55">
        <f t="shared" si="25"/>
        <v>29000</v>
      </c>
      <c r="P56" s="43"/>
      <c r="Q56" s="41" t="s">
        <v>418</v>
      </c>
      <c r="R56" s="10"/>
      <c r="S56" s="10">
        <f t="shared" si="19"/>
        <v>29000</v>
      </c>
      <c r="T56" s="10">
        <f t="shared" si="20"/>
        <v>41428.571428571435</v>
      </c>
      <c r="U56" s="11">
        <f t="shared" si="21"/>
        <v>47346.938775510214</v>
      </c>
      <c r="V56" s="12">
        <f t="shared" si="22"/>
        <v>0.12500000000000006</v>
      </c>
      <c r="W56" s="11">
        <f t="shared" si="23"/>
        <v>47400</v>
      </c>
      <c r="X56" s="26">
        <f t="shared" si="24"/>
        <v>0.3000000000000001</v>
      </c>
      <c r="Y56" s="13"/>
      <c r="Z56" s="13"/>
      <c r="AA56" s="13"/>
    </row>
    <row r="57" spans="1:27" ht="14.4" customHeight="1">
      <c r="A57" s="75"/>
      <c r="B57" s="46"/>
      <c r="C57" s="56" t="s">
        <v>213</v>
      </c>
      <c r="D57" s="48" t="str">
        <f t="shared" si="0"/>
        <v xml:space="preserve"> 599</v>
      </c>
      <c r="E57" s="57" t="s">
        <v>213</v>
      </c>
      <c r="F57" s="50">
        <f t="shared" si="1"/>
        <v>0</v>
      </c>
      <c r="G57" s="51" t="s">
        <v>300</v>
      </c>
      <c r="H57" s="51" t="s">
        <v>311</v>
      </c>
      <c r="I57" s="51" t="s">
        <v>354</v>
      </c>
      <c r="J57" s="52">
        <v>32500</v>
      </c>
      <c r="K57" s="61">
        <f t="shared" si="17"/>
        <v>4800</v>
      </c>
      <c r="L57" s="50" t="s">
        <v>24</v>
      </c>
      <c r="M57" s="54">
        <f t="shared" si="18"/>
        <v>27700</v>
      </c>
      <c r="N57" s="65">
        <f>2000+200+600+2000</f>
        <v>4800</v>
      </c>
      <c r="O57" s="55">
        <f t="shared" si="25"/>
        <v>32500</v>
      </c>
      <c r="P57" s="43"/>
      <c r="Q57" s="41" t="s">
        <v>419</v>
      </c>
      <c r="R57" s="10"/>
      <c r="S57" s="10">
        <f t="shared" si="19"/>
        <v>32500</v>
      </c>
      <c r="T57" s="10">
        <f t="shared" si="20"/>
        <v>46428.571428571435</v>
      </c>
      <c r="U57" s="11">
        <f t="shared" si="21"/>
        <v>53061.224489795924</v>
      </c>
      <c r="V57" s="12">
        <f t="shared" si="22"/>
        <v>0.12499999999999999</v>
      </c>
      <c r="W57" s="11">
        <f t="shared" si="23"/>
        <v>53100</v>
      </c>
      <c r="X57" s="26">
        <f t="shared" si="24"/>
        <v>0.3000000000000001</v>
      </c>
      <c r="Y57" s="13"/>
      <c r="Z57" s="13"/>
      <c r="AA57" s="13"/>
    </row>
    <row r="58" spans="1:27" ht="14.4" customHeight="1">
      <c r="A58" s="75"/>
      <c r="B58" s="46"/>
      <c r="C58" s="56" t="s">
        <v>214</v>
      </c>
      <c r="D58" s="48" t="str">
        <f t="shared" si="0"/>
        <v xml:space="preserve"> 564</v>
      </c>
      <c r="E58" s="57" t="s">
        <v>214</v>
      </c>
      <c r="F58" s="50">
        <f t="shared" si="1"/>
        <v>0</v>
      </c>
      <c r="G58" s="51" t="s">
        <v>300</v>
      </c>
      <c r="H58" s="51" t="s">
        <v>311</v>
      </c>
      <c r="I58" s="51" t="s">
        <v>354</v>
      </c>
      <c r="J58" s="52">
        <v>32500</v>
      </c>
      <c r="K58" s="61">
        <f t="shared" si="17"/>
        <v>4800</v>
      </c>
      <c r="L58" s="50" t="s">
        <v>24</v>
      </c>
      <c r="M58" s="54">
        <f t="shared" si="18"/>
        <v>27700</v>
      </c>
      <c r="N58" s="65">
        <f>2000+200+600+2000</f>
        <v>4800</v>
      </c>
      <c r="O58" s="55">
        <f t="shared" si="25"/>
        <v>32500</v>
      </c>
      <c r="P58" s="43"/>
      <c r="Q58" s="41" t="s">
        <v>419</v>
      </c>
      <c r="R58" s="10"/>
      <c r="S58" s="10">
        <f t="shared" si="19"/>
        <v>32500</v>
      </c>
      <c r="T58" s="10">
        <f t="shared" si="20"/>
        <v>46428.571428571435</v>
      </c>
      <c r="U58" s="11">
        <f t="shared" si="21"/>
        <v>53061.224489795924</v>
      </c>
      <c r="V58" s="12">
        <f t="shared" si="22"/>
        <v>0.12499999999999999</v>
      </c>
      <c r="W58" s="11">
        <f t="shared" si="23"/>
        <v>53100</v>
      </c>
      <c r="X58" s="26">
        <f t="shared" si="24"/>
        <v>0.3000000000000001</v>
      </c>
      <c r="Y58" s="13"/>
      <c r="Z58" s="13"/>
      <c r="AA58" s="14"/>
    </row>
    <row r="59" spans="1:27" ht="14.4" customHeight="1">
      <c r="A59" s="75"/>
      <c r="B59" s="46"/>
      <c r="C59" s="56" t="s">
        <v>215</v>
      </c>
      <c r="D59" s="48" t="str">
        <f t="shared" si="0"/>
        <v xml:space="preserve"> 719</v>
      </c>
      <c r="E59" s="57" t="s">
        <v>215</v>
      </c>
      <c r="F59" s="50">
        <f t="shared" si="1"/>
        <v>0</v>
      </c>
      <c r="G59" s="51" t="s">
        <v>300</v>
      </c>
      <c r="H59" s="51" t="s">
        <v>311</v>
      </c>
      <c r="I59" s="51" t="s">
        <v>354</v>
      </c>
      <c r="J59" s="52">
        <v>29000</v>
      </c>
      <c r="K59" s="61">
        <f t="shared" si="17"/>
        <v>4450</v>
      </c>
      <c r="L59" s="50" t="s">
        <v>24</v>
      </c>
      <c r="M59" s="54">
        <f t="shared" si="18"/>
        <v>24550</v>
      </c>
      <c r="N59" s="65">
        <f>2000+200+600+1650</f>
        <v>4450</v>
      </c>
      <c r="O59" s="55">
        <f t="shared" si="25"/>
        <v>29000</v>
      </c>
      <c r="P59" s="43"/>
      <c r="Q59" s="41" t="s">
        <v>418</v>
      </c>
      <c r="R59" s="10"/>
      <c r="S59" s="10">
        <f t="shared" si="19"/>
        <v>29000</v>
      </c>
      <c r="T59" s="10">
        <f t="shared" si="20"/>
        <v>41428.571428571435</v>
      </c>
      <c r="U59" s="11">
        <f t="shared" si="21"/>
        <v>47346.938775510214</v>
      </c>
      <c r="V59" s="12">
        <f t="shared" si="22"/>
        <v>0.12500000000000006</v>
      </c>
      <c r="W59" s="11">
        <f t="shared" si="23"/>
        <v>47400</v>
      </c>
      <c r="X59" s="26">
        <f t="shared" si="24"/>
        <v>0.3000000000000001</v>
      </c>
      <c r="Y59" s="13"/>
      <c r="Z59" s="13"/>
      <c r="AA59" s="13"/>
    </row>
    <row r="60" spans="1:27" ht="14.4" customHeight="1">
      <c r="A60" s="75"/>
      <c r="B60" s="46"/>
      <c r="C60" s="56" t="s">
        <v>216</v>
      </c>
      <c r="D60" s="48" t="str">
        <f t="shared" si="0"/>
        <v xml:space="preserve"> 857</v>
      </c>
      <c r="E60" s="57" t="s">
        <v>216</v>
      </c>
      <c r="F60" s="50">
        <f t="shared" si="1"/>
        <v>0</v>
      </c>
      <c r="G60" s="51" t="s">
        <v>300</v>
      </c>
      <c r="H60" s="51" t="s">
        <v>311</v>
      </c>
      <c r="I60" s="51" t="s">
        <v>354</v>
      </c>
      <c r="J60" s="52">
        <v>31000</v>
      </c>
      <c r="K60" s="61">
        <f t="shared" si="17"/>
        <v>4450</v>
      </c>
      <c r="L60" s="50" t="s">
        <v>24</v>
      </c>
      <c r="M60" s="54">
        <f t="shared" si="18"/>
        <v>26550</v>
      </c>
      <c r="N60" s="65">
        <f>2000+200+600+1650</f>
        <v>4450</v>
      </c>
      <c r="O60" s="55">
        <f t="shared" si="25"/>
        <v>31000</v>
      </c>
      <c r="P60" s="43"/>
      <c r="Q60" s="41" t="s">
        <v>418</v>
      </c>
      <c r="R60" s="10"/>
      <c r="S60" s="10">
        <f t="shared" si="19"/>
        <v>31000</v>
      </c>
      <c r="T60" s="10">
        <f t="shared" si="20"/>
        <v>44285.71428571429</v>
      </c>
      <c r="U60" s="11">
        <f t="shared" si="21"/>
        <v>50612.244897959186</v>
      </c>
      <c r="V60" s="12">
        <f t="shared" si="22"/>
        <v>0.12499999999999996</v>
      </c>
      <c r="W60" s="11">
        <f t="shared" si="23"/>
        <v>50700</v>
      </c>
      <c r="X60" s="26">
        <f t="shared" si="24"/>
        <v>0.30000000000000004</v>
      </c>
      <c r="Y60" s="13"/>
      <c r="Z60" s="13"/>
      <c r="AA60" s="13"/>
    </row>
    <row r="61" spans="1:27" ht="14.4" customHeight="1">
      <c r="A61" s="75"/>
      <c r="B61" s="46"/>
      <c r="C61" s="56" t="s">
        <v>146</v>
      </c>
      <c r="D61" s="48" t="str">
        <f t="shared" si="0"/>
        <v xml:space="preserve"> 580</v>
      </c>
      <c r="E61" s="57" t="s">
        <v>146</v>
      </c>
      <c r="F61" s="50">
        <f t="shared" si="1"/>
        <v>0</v>
      </c>
      <c r="G61" s="51" t="s">
        <v>300</v>
      </c>
      <c r="H61" s="51" t="s">
        <v>60</v>
      </c>
      <c r="I61" s="51" t="s">
        <v>337</v>
      </c>
      <c r="J61" s="52">
        <v>30000</v>
      </c>
      <c r="K61" s="61">
        <f t="shared" si="17"/>
        <v>5900</v>
      </c>
      <c r="L61" s="50" t="s">
        <v>24</v>
      </c>
      <c r="M61" s="54">
        <f t="shared" si="18"/>
        <v>24100</v>
      </c>
      <c r="N61" s="54">
        <f>2000+300+600+1000+2000</f>
        <v>5900</v>
      </c>
      <c r="O61" s="55">
        <f t="shared" si="25"/>
        <v>30000</v>
      </c>
      <c r="P61" s="44"/>
      <c r="Q61" s="41" t="s">
        <v>390</v>
      </c>
      <c r="R61" s="10"/>
      <c r="S61" s="10">
        <f t="shared" si="19"/>
        <v>30000</v>
      </c>
      <c r="T61" s="10">
        <f t="shared" si="20"/>
        <v>42857.142857142862</v>
      </c>
      <c r="U61" s="11">
        <f t="shared" si="21"/>
        <v>48979.591836734697</v>
      </c>
      <c r="V61" s="12">
        <f t="shared" si="22"/>
        <v>0.12499999999999994</v>
      </c>
      <c r="W61" s="11">
        <f t="shared" si="23"/>
        <v>49000</v>
      </c>
      <c r="X61" s="26">
        <f t="shared" si="24"/>
        <v>0.3000000000000001</v>
      </c>
      <c r="Y61" s="13"/>
      <c r="Z61" s="13"/>
      <c r="AA61" s="14"/>
    </row>
    <row r="62" spans="1:27" ht="14.4" customHeight="1">
      <c r="A62" s="75"/>
      <c r="B62" s="46"/>
      <c r="C62" s="56" t="s">
        <v>64</v>
      </c>
      <c r="D62" s="48" t="str">
        <f t="shared" si="0"/>
        <v xml:space="preserve"> 993</v>
      </c>
      <c r="E62" s="57" t="s">
        <v>64</v>
      </c>
      <c r="F62" s="50">
        <f t="shared" si="1"/>
        <v>0</v>
      </c>
      <c r="G62" s="51" t="s">
        <v>21</v>
      </c>
      <c r="H62" s="51" t="s">
        <v>60</v>
      </c>
      <c r="I62" s="51" t="s">
        <v>337</v>
      </c>
      <c r="J62" s="52">
        <v>27000</v>
      </c>
      <c r="K62" s="61">
        <f t="shared" si="17"/>
        <v>4900</v>
      </c>
      <c r="L62" s="50" t="s">
        <v>24</v>
      </c>
      <c r="M62" s="54">
        <f t="shared" si="18"/>
        <v>22100</v>
      </c>
      <c r="N62" s="54">
        <f>2000+300+600+2000</f>
        <v>4900</v>
      </c>
      <c r="O62" s="55">
        <f t="shared" si="25"/>
        <v>27000</v>
      </c>
      <c r="P62" s="43"/>
      <c r="Q62" s="41" t="s">
        <v>392</v>
      </c>
      <c r="R62" s="10"/>
      <c r="S62" s="10">
        <f t="shared" si="19"/>
        <v>27000</v>
      </c>
      <c r="T62" s="10">
        <f t="shared" si="20"/>
        <v>38571.428571428572</v>
      </c>
      <c r="U62" s="11">
        <f t="shared" si="21"/>
        <v>44081.632653061228</v>
      </c>
      <c r="V62" s="12">
        <f t="shared" si="22"/>
        <v>0.12500000000000003</v>
      </c>
      <c r="W62" s="11">
        <f t="shared" si="23"/>
        <v>44100</v>
      </c>
      <c r="X62" s="26">
        <f t="shared" si="24"/>
        <v>0.30000000000000004</v>
      </c>
      <c r="Y62" s="36">
        <v>40075</v>
      </c>
      <c r="Z62" s="29">
        <f>T62-Y62</f>
        <v>-1503.5714285714275</v>
      </c>
      <c r="AA62" s="30">
        <f>Z62/Y62</f>
        <v>-3.7518937706086775E-2</v>
      </c>
    </row>
    <row r="63" spans="1:27" ht="14.4" customHeight="1">
      <c r="A63" s="75"/>
      <c r="B63" s="46"/>
      <c r="C63" s="56" t="s">
        <v>106</v>
      </c>
      <c r="D63" s="48" t="str">
        <f t="shared" si="0"/>
        <v xml:space="preserve"> 123</v>
      </c>
      <c r="E63" s="57" t="s">
        <v>106</v>
      </c>
      <c r="F63" s="50">
        <f t="shared" si="1"/>
        <v>0</v>
      </c>
      <c r="G63" s="51" t="s">
        <v>21</v>
      </c>
      <c r="H63" s="51" t="s">
        <v>60</v>
      </c>
      <c r="I63" s="51" t="s">
        <v>337</v>
      </c>
      <c r="J63" s="52">
        <v>27550</v>
      </c>
      <c r="K63" s="61">
        <f t="shared" si="17"/>
        <v>4900</v>
      </c>
      <c r="L63" s="50" t="s">
        <v>24</v>
      </c>
      <c r="M63" s="54">
        <f t="shared" si="18"/>
        <v>22650</v>
      </c>
      <c r="N63" s="54">
        <f>2000+300+600+2000</f>
        <v>4900</v>
      </c>
      <c r="O63" s="55">
        <f t="shared" si="25"/>
        <v>27550</v>
      </c>
      <c r="P63" s="44"/>
      <c r="Q63" s="41" t="s">
        <v>392</v>
      </c>
      <c r="R63" s="10"/>
      <c r="S63" s="10">
        <f t="shared" si="19"/>
        <v>27550</v>
      </c>
      <c r="T63" s="10">
        <f t="shared" si="20"/>
        <v>39357.142857142862</v>
      </c>
      <c r="U63" s="11">
        <f t="shared" si="21"/>
        <v>44979.591836734697</v>
      </c>
      <c r="V63" s="12">
        <f t="shared" si="22"/>
        <v>0.12499999999999994</v>
      </c>
      <c r="W63" s="11">
        <f t="shared" si="23"/>
        <v>45000</v>
      </c>
      <c r="X63" s="26">
        <f t="shared" si="24"/>
        <v>0.3000000000000001</v>
      </c>
      <c r="Y63" s="36">
        <v>39375</v>
      </c>
      <c r="Z63" s="29">
        <f>T63-Y63</f>
        <v>-17.85714285713766</v>
      </c>
      <c r="AA63" s="30">
        <f>Z63/Y63</f>
        <v>-4.5351473922889296E-4</v>
      </c>
    </row>
    <row r="64" spans="1:27" ht="14.4" customHeight="1">
      <c r="A64" s="75"/>
      <c r="B64" s="46"/>
      <c r="C64" s="56" t="s">
        <v>62</v>
      </c>
      <c r="D64" s="48" t="str">
        <f t="shared" si="0"/>
        <v xml:space="preserve"> 805</v>
      </c>
      <c r="E64" s="57" t="s">
        <v>62</v>
      </c>
      <c r="F64" s="50">
        <f t="shared" si="1"/>
        <v>0</v>
      </c>
      <c r="G64" s="51" t="s">
        <v>21</v>
      </c>
      <c r="H64" s="51" t="s">
        <v>60</v>
      </c>
      <c r="I64" s="51" t="s">
        <v>337</v>
      </c>
      <c r="J64" s="52">
        <v>32000</v>
      </c>
      <c r="K64" s="61">
        <f t="shared" si="17"/>
        <v>5900</v>
      </c>
      <c r="L64" s="50" t="s">
        <v>24</v>
      </c>
      <c r="M64" s="54">
        <f t="shared" si="18"/>
        <v>26100</v>
      </c>
      <c r="N64" s="54">
        <f>2000+300+600+1000+2000</f>
        <v>5900</v>
      </c>
      <c r="O64" s="55">
        <f t="shared" si="25"/>
        <v>32000</v>
      </c>
      <c r="P64" s="44"/>
      <c r="Q64" s="41" t="s">
        <v>390</v>
      </c>
      <c r="R64" s="10"/>
      <c r="S64" s="10">
        <f t="shared" si="19"/>
        <v>32000</v>
      </c>
      <c r="T64" s="10">
        <f t="shared" si="20"/>
        <v>45714.285714285717</v>
      </c>
      <c r="U64" s="11">
        <f t="shared" si="21"/>
        <v>52244.897959183676</v>
      </c>
      <c r="V64" s="12">
        <f t="shared" si="22"/>
        <v>0.12499999999999999</v>
      </c>
      <c r="W64" s="11">
        <f t="shared" si="23"/>
        <v>52300</v>
      </c>
      <c r="X64" s="26">
        <f t="shared" si="24"/>
        <v>0.30000000000000004</v>
      </c>
      <c r="Y64" s="36">
        <v>50050</v>
      </c>
      <c r="Z64" s="29">
        <f>T64-Y64</f>
        <v>-4335.7142857142826</v>
      </c>
      <c r="AA64" s="30">
        <f>Z64/Y64</f>
        <v>-8.662765805622942E-2</v>
      </c>
    </row>
    <row r="65" spans="1:27" ht="14.4" customHeight="1">
      <c r="A65" s="75"/>
      <c r="B65" s="46"/>
      <c r="C65" s="56" t="s">
        <v>65</v>
      </c>
      <c r="D65" s="48" t="str">
        <f t="shared" si="0"/>
        <v xml:space="preserve"> 242</v>
      </c>
      <c r="E65" s="57" t="s">
        <v>65</v>
      </c>
      <c r="F65" s="50">
        <f t="shared" si="1"/>
        <v>0</v>
      </c>
      <c r="G65" s="51" t="s">
        <v>21</v>
      </c>
      <c r="H65" s="51" t="s">
        <v>60</v>
      </c>
      <c r="I65" s="51" t="s">
        <v>337</v>
      </c>
      <c r="J65" s="52">
        <v>27000</v>
      </c>
      <c r="K65" s="61">
        <f t="shared" si="17"/>
        <v>4900</v>
      </c>
      <c r="L65" s="50" t="s">
        <v>24</v>
      </c>
      <c r="M65" s="54">
        <f t="shared" si="18"/>
        <v>22100</v>
      </c>
      <c r="N65" s="54">
        <f>2000+300+600+2000</f>
        <v>4900</v>
      </c>
      <c r="O65" s="55">
        <f t="shared" si="25"/>
        <v>27000</v>
      </c>
      <c r="P65" s="44"/>
      <c r="Q65" s="41" t="s">
        <v>392</v>
      </c>
      <c r="R65" s="10"/>
      <c r="S65" s="10">
        <f t="shared" si="19"/>
        <v>27000</v>
      </c>
      <c r="T65" s="10">
        <f t="shared" si="20"/>
        <v>38571.428571428572</v>
      </c>
      <c r="U65" s="11">
        <f t="shared" si="21"/>
        <v>44081.632653061228</v>
      </c>
      <c r="V65" s="12">
        <f t="shared" si="22"/>
        <v>0.12500000000000003</v>
      </c>
      <c r="W65" s="11">
        <f t="shared" si="23"/>
        <v>44100</v>
      </c>
      <c r="X65" s="26">
        <f t="shared" si="24"/>
        <v>0.30000000000000004</v>
      </c>
      <c r="Y65" s="36">
        <v>40075</v>
      </c>
      <c r="Z65" s="29">
        <f>T65-Y65</f>
        <v>-1503.5714285714275</v>
      </c>
      <c r="AA65" s="30">
        <f>Z65/Y65</f>
        <v>-3.7518937706086775E-2</v>
      </c>
    </row>
    <row r="66" spans="1:27" ht="14.4" customHeight="1">
      <c r="A66" s="75"/>
      <c r="B66" s="46"/>
      <c r="C66" s="56" t="s">
        <v>147</v>
      </c>
      <c r="D66" s="48" t="str">
        <f t="shared" si="0"/>
        <v xml:space="preserve"> 699</v>
      </c>
      <c r="E66" s="57" t="s">
        <v>147</v>
      </c>
      <c r="F66" s="50">
        <f t="shared" si="1"/>
        <v>0</v>
      </c>
      <c r="G66" s="51" t="s">
        <v>300</v>
      </c>
      <c r="H66" s="51" t="s">
        <v>60</v>
      </c>
      <c r="I66" s="51" t="s">
        <v>337</v>
      </c>
      <c r="J66" s="52">
        <v>30000</v>
      </c>
      <c r="K66" s="53">
        <f t="shared" si="17"/>
        <v>4900</v>
      </c>
      <c r="L66" s="50" t="s">
        <v>24</v>
      </c>
      <c r="M66" s="54">
        <f t="shared" si="18"/>
        <v>25100</v>
      </c>
      <c r="N66" s="54">
        <f>2000+300+600+2000</f>
        <v>4900</v>
      </c>
      <c r="O66" s="55">
        <f t="shared" si="25"/>
        <v>30000</v>
      </c>
      <c r="P66" s="42"/>
      <c r="Q66" s="41" t="s">
        <v>392</v>
      </c>
      <c r="R66" s="10"/>
      <c r="S66" s="10">
        <f t="shared" si="19"/>
        <v>30000</v>
      </c>
      <c r="T66" s="10">
        <f t="shared" si="20"/>
        <v>42857.142857142862</v>
      </c>
      <c r="U66" s="11">
        <f t="shared" si="21"/>
        <v>48979.591836734697</v>
      </c>
      <c r="V66" s="12">
        <f t="shared" si="22"/>
        <v>0.12499999999999994</v>
      </c>
      <c r="W66" s="11">
        <f t="shared" si="23"/>
        <v>49000</v>
      </c>
      <c r="X66" s="71">
        <f t="shared" si="24"/>
        <v>0.3000000000000001</v>
      </c>
      <c r="Y66" s="13"/>
      <c r="Z66" s="13"/>
      <c r="AA66" s="14"/>
    </row>
    <row r="67" spans="1:27" ht="14.4" customHeight="1">
      <c r="A67" s="75"/>
      <c r="B67" s="46"/>
      <c r="C67" s="56" t="s">
        <v>148</v>
      </c>
      <c r="D67" s="48" t="str">
        <f t="shared" si="0"/>
        <v xml:space="preserve"> 764</v>
      </c>
      <c r="E67" s="57" t="s">
        <v>148</v>
      </c>
      <c r="F67" s="50">
        <f t="shared" si="1"/>
        <v>0</v>
      </c>
      <c r="G67" s="51" t="s">
        <v>300</v>
      </c>
      <c r="H67" s="51" t="s">
        <v>60</v>
      </c>
      <c r="I67" s="51" t="s">
        <v>337</v>
      </c>
      <c r="J67" s="52">
        <v>30000</v>
      </c>
      <c r="K67" s="61">
        <f t="shared" si="17"/>
        <v>4900</v>
      </c>
      <c r="L67" s="50" t="s">
        <v>24</v>
      </c>
      <c r="M67" s="54">
        <f t="shared" si="18"/>
        <v>25100</v>
      </c>
      <c r="N67" s="54">
        <f>2000+300+600+2000</f>
        <v>4900</v>
      </c>
      <c r="O67" s="55">
        <f t="shared" si="25"/>
        <v>30000</v>
      </c>
      <c r="P67" s="43"/>
      <c r="Q67" s="41" t="s">
        <v>392</v>
      </c>
      <c r="R67" s="10"/>
      <c r="S67" s="10">
        <f t="shared" si="19"/>
        <v>30000</v>
      </c>
      <c r="T67" s="10">
        <f t="shared" si="20"/>
        <v>42857.142857142862</v>
      </c>
      <c r="U67" s="11">
        <f t="shared" si="21"/>
        <v>48979.591836734697</v>
      </c>
      <c r="V67" s="12">
        <f t="shared" si="22"/>
        <v>0.12499999999999994</v>
      </c>
      <c r="W67" s="11">
        <f t="shared" si="23"/>
        <v>49000</v>
      </c>
      <c r="X67" s="71">
        <f t="shared" si="24"/>
        <v>0.3000000000000001</v>
      </c>
      <c r="Y67" s="13"/>
      <c r="Z67" s="13"/>
      <c r="AA67" s="13"/>
    </row>
    <row r="68" spans="1:27" ht="14.4" customHeight="1">
      <c r="A68" s="75"/>
      <c r="B68" s="46"/>
      <c r="C68" s="56" t="s">
        <v>63</v>
      </c>
      <c r="D68" s="48" t="str">
        <f t="shared" si="0"/>
        <v xml:space="preserve"> 397</v>
      </c>
      <c r="E68" s="58" t="s">
        <v>63</v>
      </c>
      <c r="F68" s="50">
        <f t="shared" si="1"/>
        <v>0</v>
      </c>
      <c r="G68" s="51" t="s">
        <v>21</v>
      </c>
      <c r="H68" s="51" t="s">
        <v>60</v>
      </c>
      <c r="I68" s="51" t="s">
        <v>337</v>
      </c>
      <c r="J68" s="52"/>
      <c r="K68" s="61"/>
      <c r="L68" s="50"/>
      <c r="M68" s="54"/>
      <c r="N68" s="54"/>
      <c r="O68" s="55"/>
      <c r="P68" s="43"/>
      <c r="Q68" s="41"/>
      <c r="R68" s="10"/>
      <c r="S68" s="10"/>
      <c r="T68" s="10"/>
      <c r="U68" s="11"/>
      <c r="V68" s="12"/>
      <c r="W68" s="11"/>
      <c r="X68" s="71"/>
      <c r="Y68" s="36">
        <v>0</v>
      </c>
      <c r="Z68" s="29">
        <f>T68-Y68</f>
        <v>0</v>
      </c>
      <c r="AA68" s="30" t="e">
        <f>Z68/Y68</f>
        <v>#DIV/0!</v>
      </c>
    </row>
    <row r="69" spans="1:27" ht="14.4" customHeight="1">
      <c r="A69" s="75"/>
      <c r="B69" s="46"/>
      <c r="C69" s="56" t="s">
        <v>149</v>
      </c>
      <c r="D69" s="48" t="str">
        <f t="shared" ref="D69:D132" si="26">REPLACE(C69,1,3, )</f>
        <v xml:space="preserve"> 360</v>
      </c>
      <c r="E69" s="57" t="s">
        <v>149</v>
      </c>
      <c r="F69" s="50">
        <f t="shared" ref="F69:F132" si="27">IF(C69=E69,0,1)</f>
        <v>0</v>
      </c>
      <c r="G69" s="51" t="s">
        <v>300</v>
      </c>
      <c r="H69" s="51" t="s">
        <v>60</v>
      </c>
      <c r="I69" s="51" t="s">
        <v>337</v>
      </c>
      <c r="J69" s="52">
        <v>30000</v>
      </c>
      <c r="K69" s="61">
        <f t="shared" ref="K69:K81" si="28">J69-M69</f>
        <v>4900</v>
      </c>
      <c r="L69" s="50" t="s">
        <v>24</v>
      </c>
      <c r="M69" s="54">
        <f t="shared" ref="M69:M78" si="29">J69-N69</f>
        <v>25100</v>
      </c>
      <c r="N69" s="54">
        <f>2000+300+600+2000</f>
        <v>4900</v>
      </c>
      <c r="O69" s="55">
        <f t="shared" ref="O69:O81" si="30">M69+N69</f>
        <v>30000</v>
      </c>
      <c r="P69" s="44"/>
      <c r="Q69" s="41" t="s">
        <v>392</v>
      </c>
      <c r="R69" s="10"/>
      <c r="S69" s="10">
        <f t="shared" ref="S69:S81" si="31">R69+O69</f>
        <v>30000</v>
      </c>
      <c r="T69" s="10">
        <f t="shared" ref="T69:T81" si="32">S69/0.7</f>
        <v>42857.142857142862</v>
      </c>
      <c r="U69" s="11">
        <f t="shared" ref="U69:U81" si="33">T69/0.875</f>
        <v>48979.591836734697</v>
      </c>
      <c r="V69" s="12">
        <f t="shared" ref="V69:V81" si="34">(U69-T69)/U69</f>
        <v>0.12499999999999994</v>
      </c>
      <c r="W69" s="11">
        <f t="shared" ref="W69:W81" si="35">(ROUNDUP((U69/100),0))*100</f>
        <v>49000</v>
      </c>
      <c r="X69" s="71">
        <f t="shared" ref="X69:X81" si="36">(T69-O69)/T69</f>
        <v>0.3000000000000001</v>
      </c>
      <c r="Y69" s="13"/>
      <c r="Z69" s="13"/>
      <c r="AA69" s="14"/>
    </row>
    <row r="70" spans="1:27" ht="14.4" customHeight="1">
      <c r="A70" s="75"/>
      <c r="B70" s="46"/>
      <c r="C70" s="56" t="s">
        <v>150</v>
      </c>
      <c r="D70" s="48" t="str">
        <f t="shared" si="26"/>
        <v xml:space="preserve"> 770</v>
      </c>
      <c r="E70" s="57" t="s">
        <v>150</v>
      </c>
      <c r="F70" s="50">
        <f t="shared" si="27"/>
        <v>0</v>
      </c>
      <c r="G70" s="51" t="s">
        <v>300</v>
      </c>
      <c r="H70" s="51" t="s">
        <v>60</v>
      </c>
      <c r="I70" s="51" t="s">
        <v>337</v>
      </c>
      <c r="J70" s="52">
        <v>30000</v>
      </c>
      <c r="K70" s="61">
        <f t="shared" si="28"/>
        <v>4900</v>
      </c>
      <c r="L70" s="50" t="s">
        <v>24</v>
      </c>
      <c r="M70" s="54">
        <f t="shared" si="29"/>
        <v>25100</v>
      </c>
      <c r="N70" s="54">
        <f>2000+300+600+2000</f>
        <v>4900</v>
      </c>
      <c r="O70" s="55">
        <f t="shared" si="30"/>
        <v>30000</v>
      </c>
      <c r="P70" s="44"/>
      <c r="Q70" s="41" t="s">
        <v>392</v>
      </c>
      <c r="R70" s="10"/>
      <c r="S70" s="10">
        <f t="shared" si="31"/>
        <v>30000</v>
      </c>
      <c r="T70" s="10">
        <f t="shared" si="32"/>
        <v>42857.142857142862</v>
      </c>
      <c r="U70" s="11">
        <f t="shared" si="33"/>
        <v>48979.591836734697</v>
      </c>
      <c r="V70" s="12">
        <f t="shared" si="34"/>
        <v>0.12499999999999994</v>
      </c>
      <c r="W70" s="11">
        <f t="shared" si="35"/>
        <v>49000</v>
      </c>
      <c r="X70" s="71">
        <f t="shared" si="36"/>
        <v>0.3000000000000001</v>
      </c>
      <c r="Y70" s="13"/>
      <c r="Z70" s="13"/>
      <c r="AA70" s="14"/>
    </row>
    <row r="71" spans="1:27" ht="14.4" customHeight="1">
      <c r="A71" s="75"/>
      <c r="B71" s="46"/>
      <c r="C71" s="56" t="s">
        <v>182</v>
      </c>
      <c r="D71" s="48" t="str">
        <f t="shared" si="26"/>
        <v xml:space="preserve"> 540</v>
      </c>
      <c r="E71" s="57" t="s">
        <v>182</v>
      </c>
      <c r="F71" s="50">
        <f t="shared" si="27"/>
        <v>0</v>
      </c>
      <c r="G71" s="51" t="s">
        <v>300</v>
      </c>
      <c r="H71" s="51" t="s">
        <v>309</v>
      </c>
      <c r="I71" s="51" t="s">
        <v>345</v>
      </c>
      <c r="J71" s="52">
        <v>50000</v>
      </c>
      <c r="K71" s="61">
        <f t="shared" si="28"/>
        <v>6650</v>
      </c>
      <c r="L71" s="50" t="s">
        <v>24</v>
      </c>
      <c r="M71" s="54">
        <f t="shared" si="29"/>
        <v>43350</v>
      </c>
      <c r="N71" s="54">
        <f>2000+200+600+250+3600</f>
        <v>6650</v>
      </c>
      <c r="O71" s="55">
        <f t="shared" si="30"/>
        <v>50000</v>
      </c>
      <c r="P71" s="43"/>
      <c r="Q71" s="41" t="s">
        <v>405</v>
      </c>
      <c r="R71" s="10"/>
      <c r="S71" s="10">
        <f t="shared" si="31"/>
        <v>50000</v>
      </c>
      <c r="T71" s="10">
        <f t="shared" si="32"/>
        <v>71428.571428571435</v>
      </c>
      <c r="U71" s="11">
        <f t="shared" si="33"/>
        <v>81632.653061224497</v>
      </c>
      <c r="V71" s="12">
        <f t="shared" si="34"/>
        <v>0.125</v>
      </c>
      <c r="W71" s="11">
        <f t="shared" si="35"/>
        <v>81700</v>
      </c>
      <c r="X71" s="26">
        <f t="shared" si="36"/>
        <v>0.30000000000000004</v>
      </c>
      <c r="Y71" s="13"/>
      <c r="Z71" s="13"/>
      <c r="AA71" s="13"/>
    </row>
    <row r="72" spans="1:27" ht="14.4" customHeight="1">
      <c r="A72" s="75"/>
      <c r="B72" s="46"/>
      <c r="C72" s="56" t="s">
        <v>183</v>
      </c>
      <c r="D72" s="48" t="str">
        <f t="shared" si="26"/>
        <v xml:space="preserve"> 498</v>
      </c>
      <c r="E72" s="57" t="s">
        <v>183</v>
      </c>
      <c r="F72" s="50">
        <f t="shared" si="27"/>
        <v>0</v>
      </c>
      <c r="G72" s="51" t="s">
        <v>300</v>
      </c>
      <c r="H72" s="51" t="s">
        <v>309</v>
      </c>
      <c r="I72" s="51" t="s">
        <v>345</v>
      </c>
      <c r="J72" s="52">
        <v>50000</v>
      </c>
      <c r="K72" s="61">
        <f t="shared" si="28"/>
        <v>6650</v>
      </c>
      <c r="L72" s="50" t="s">
        <v>24</v>
      </c>
      <c r="M72" s="54">
        <f t="shared" si="29"/>
        <v>43350</v>
      </c>
      <c r="N72" s="54">
        <f>2000+200+600+250+3600</f>
        <v>6650</v>
      </c>
      <c r="O72" s="55">
        <f t="shared" si="30"/>
        <v>50000</v>
      </c>
      <c r="P72" s="43"/>
      <c r="Q72" s="41" t="s">
        <v>405</v>
      </c>
      <c r="R72" s="10"/>
      <c r="S72" s="10">
        <f t="shared" si="31"/>
        <v>50000</v>
      </c>
      <c r="T72" s="10">
        <f t="shared" si="32"/>
        <v>71428.571428571435</v>
      </c>
      <c r="U72" s="11">
        <f t="shared" si="33"/>
        <v>81632.653061224497</v>
      </c>
      <c r="V72" s="12">
        <f t="shared" si="34"/>
        <v>0.125</v>
      </c>
      <c r="W72" s="11">
        <f t="shared" si="35"/>
        <v>81700</v>
      </c>
      <c r="X72" s="26">
        <f t="shared" si="36"/>
        <v>0.30000000000000004</v>
      </c>
      <c r="Y72" s="13"/>
      <c r="Z72" s="13"/>
      <c r="AA72" s="13"/>
    </row>
    <row r="73" spans="1:27" ht="14.4" customHeight="1">
      <c r="A73" s="75"/>
      <c r="B73" s="46"/>
      <c r="C73" s="56" t="s">
        <v>39</v>
      </c>
      <c r="D73" s="48" t="str">
        <f t="shared" si="26"/>
        <v xml:space="preserve"> 653</v>
      </c>
      <c r="E73" s="57" t="s">
        <v>39</v>
      </c>
      <c r="F73" s="50">
        <f t="shared" si="27"/>
        <v>0</v>
      </c>
      <c r="G73" s="51" t="s">
        <v>21</v>
      </c>
      <c r="H73" s="51" t="s">
        <v>316</v>
      </c>
      <c r="I73" s="51" t="s">
        <v>360</v>
      </c>
      <c r="J73" s="52">
        <v>70000</v>
      </c>
      <c r="K73" s="61">
        <f t="shared" si="28"/>
        <v>3900</v>
      </c>
      <c r="L73" s="50" t="s">
        <v>24</v>
      </c>
      <c r="M73" s="54">
        <f t="shared" si="29"/>
        <v>66100</v>
      </c>
      <c r="N73" s="65">
        <f t="shared" ref="N73:N78" si="37">2000+200+350+600+750</f>
        <v>3900</v>
      </c>
      <c r="O73" s="55">
        <f t="shared" si="30"/>
        <v>70000</v>
      </c>
      <c r="P73" s="43"/>
      <c r="Q73" s="41" t="s">
        <v>430</v>
      </c>
      <c r="R73" s="10"/>
      <c r="S73" s="10">
        <f t="shared" si="31"/>
        <v>70000</v>
      </c>
      <c r="T73" s="10">
        <f t="shared" si="32"/>
        <v>100000</v>
      </c>
      <c r="U73" s="11">
        <f t="shared" si="33"/>
        <v>114285.71428571429</v>
      </c>
      <c r="V73" s="12">
        <f t="shared" si="34"/>
        <v>0.12500000000000003</v>
      </c>
      <c r="W73" s="11">
        <f t="shared" si="35"/>
        <v>114300</v>
      </c>
      <c r="X73" s="26">
        <f t="shared" si="36"/>
        <v>0.3</v>
      </c>
      <c r="Y73" s="36">
        <v>105788</v>
      </c>
      <c r="Z73" s="29">
        <f>T73-Y73</f>
        <v>-5788</v>
      </c>
      <c r="AA73" s="30">
        <f>Z73/Y73</f>
        <v>-5.4713199984875414E-2</v>
      </c>
    </row>
    <row r="74" spans="1:27" ht="14.4" customHeight="1">
      <c r="A74" s="75"/>
      <c r="B74" s="46"/>
      <c r="C74" s="56" t="s">
        <v>234</v>
      </c>
      <c r="D74" s="48" t="str">
        <f t="shared" si="26"/>
        <v xml:space="preserve"> 211</v>
      </c>
      <c r="E74" s="57" t="s">
        <v>234</v>
      </c>
      <c r="F74" s="50">
        <f t="shared" si="27"/>
        <v>0</v>
      </c>
      <c r="G74" s="51" t="s">
        <v>300</v>
      </c>
      <c r="H74" s="51" t="s">
        <v>315</v>
      </c>
      <c r="I74" s="51" t="s">
        <v>360</v>
      </c>
      <c r="J74" s="52">
        <v>75000</v>
      </c>
      <c r="K74" s="61">
        <f t="shared" si="28"/>
        <v>3900</v>
      </c>
      <c r="L74" s="50" t="s">
        <v>24</v>
      </c>
      <c r="M74" s="54">
        <f t="shared" si="29"/>
        <v>71100</v>
      </c>
      <c r="N74" s="65">
        <f t="shared" si="37"/>
        <v>3900</v>
      </c>
      <c r="O74" s="55">
        <f t="shared" si="30"/>
        <v>75000</v>
      </c>
      <c r="P74" s="43"/>
      <c r="Q74" s="41" t="s">
        <v>430</v>
      </c>
      <c r="R74" s="10"/>
      <c r="S74" s="10">
        <f t="shared" si="31"/>
        <v>75000</v>
      </c>
      <c r="T74" s="10">
        <f t="shared" si="32"/>
        <v>107142.85714285714</v>
      </c>
      <c r="U74" s="11">
        <f t="shared" si="33"/>
        <v>122448.97959183673</v>
      </c>
      <c r="V74" s="12">
        <f t="shared" si="34"/>
        <v>0.12499999999999996</v>
      </c>
      <c r="W74" s="11">
        <f t="shared" si="35"/>
        <v>122500</v>
      </c>
      <c r="X74" s="26">
        <f t="shared" si="36"/>
        <v>0.3</v>
      </c>
      <c r="Y74" s="13"/>
      <c r="Z74" s="13"/>
      <c r="AA74" s="13"/>
    </row>
    <row r="75" spans="1:27" ht="14.4" customHeight="1">
      <c r="A75" s="75"/>
      <c r="B75" s="46"/>
      <c r="C75" s="56" t="s">
        <v>235</v>
      </c>
      <c r="D75" s="48" t="str">
        <f t="shared" si="26"/>
        <v xml:space="preserve"> 299</v>
      </c>
      <c r="E75" s="57" t="s">
        <v>235</v>
      </c>
      <c r="F75" s="50">
        <f t="shared" si="27"/>
        <v>0</v>
      </c>
      <c r="G75" s="51" t="s">
        <v>300</v>
      </c>
      <c r="H75" s="51" t="s">
        <v>315</v>
      </c>
      <c r="I75" s="51" t="s">
        <v>360</v>
      </c>
      <c r="J75" s="52">
        <v>75000</v>
      </c>
      <c r="K75" s="61">
        <f t="shared" si="28"/>
        <v>3900</v>
      </c>
      <c r="L75" s="50" t="s">
        <v>24</v>
      </c>
      <c r="M75" s="54">
        <f t="shared" si="29"/>
        <v>71100</v>
      </c>
      <c r="N75" s="65">
        <f t="shared" si="37"/>
        <v>3900</v>
      </c>
      <c r="O75" s="55">
        <f t="shared" si="30"/>
        <v>75000</v>
      </c>
      <c r="P75" s="43"/>
      <c r="Q75" s="41" t="s">
        <v>430</v>
      </c>
      <c r="R75" s="10"/>
      <c r="S75" s="10">
        <f t="shared" si="31"/>
        <v>75000</v>
      </c>
      <c r="T75" s="10">
        <f t="shared" si="32"/>
        <v>107142.85714285714</v>
      </c>
      <c r="U75" s="11">
        <f t="shared" si="33"/>
        <v>122448.97959183673</v>
      </c>
      <c r="V75" s="12">
        <f t="shared" si="34"/>
        <v>0.12499999999999996</v>
      </c>
      <c r="W75" s="11">
        <f t="shared" si="35"/>
        <v>122500</v>
      </c>
      <c r="X75" s="26">
        <f t="shared" si="36"/>
        <v>0.3</v>
      </c>
      <c r="Y75" s="13"/>
      <c r="Z75" s="13"/>
      <c r="AA75" s="14"/>
    </row>
    <row r="76" spans="1:27" ht="14.4" customHeight="1">
      <c r="A76" s="75"/>
      <c r="B76" s="46"/>
      <c r="C76" s="56" t="s">
        <v>236</v>
      </c>
      <c r="D76" s="48" t="str">
        <f t="shared" si="26"/>
        <v xml:space="preserve"> 388</v>
      </c>
      <c r="E76" s="57" t="s">
        <v>236</v>
      </c>
      <c r="F76" s="50">
        <f t="shared" si="27"/>
        <v>0</v>
      </c>
      <c r="G76" s="51" t="s">
        <v>300</v>
      </c>
      <c r="H76" s="51" t="s">
        <v>315</v>
      </c>
      <c r="I76" s="51" t="s">
        <v>360</v>
      </c>
      <c r="J76" s="52">
        <v>72500</v>
      </c>
      <c r="K76" s="61">
        <f t="shared" si="28"/>
        <v>3900</v>
      </c>
      <c r="L76" s="50" t="s">
        <v>24</v>
      </c>
      <c r="M76" s="54">
        <f t="shared" si="29"/>
        <v>68600</v>
      </c>
      <c r="N76" s="65">
        <f t="shared" si="37"/>
        <v>3900</v>
      </c>
      <c r="O76" s="55">
        <f t="shared" si="30"/>
        <v>72500</v>
      </c>
      <c r="P76" s="43"/>
      <c r="Q76" s="41" t="s">
        <v>430</v>
      </c>
      <c r="R76" s="10"/>
      <c r="S76" s="10">
        <f t="shared" si="31"/>
        <v>72500</v>
      </c>
      <c r="T76" s="10">
        <f t="shared" si="32"/>
        <v>103571.42857142858</v>
      </c>
      <c r="U76" s="11">
        <f t="shared" si="33"/>
        <v>118367.34693877552</v>
      </c>
      <c r="V76" s="12">
        <f t="shared" si="34"/>
        <v>0.12499999999999999</v>
      </c>
      <c r="W76" s="11">
        <f t="shared" si="35"/>
        <v>118400</v>
      </c>
      <c r="X76" s="26">
        <f t="shared" si="36"/>
        <v>0.30000000000000004</v>
      </c>
      <c r="Y76" s="13"/>
      <c r="Z76" s="13"/>
      <c r="AA76" s="13"/>
    </row>
    <row r="77" spans="1:27" ht="14.4" customHeight="1">
      <c r="A77" s="75"/>
      <c r="B77" s="46"/>
      <c r="C77" s="56" t="s">
        <v>237</v>
      </c>
      <c r="D77" s="48" t="str">
        <f t="shared" si="26"/>
        <v xml:space="preserve"> 823</v>
      </c>
      <c r="E77" s="57" t="s">
        <v>237</v>
      </c>
      <c r="F77" s="50">
        <f t="shared" si="27"/>
        <v>0</v>
      </c>
      <c r="G77" s="51" t="s">
        <v>300</v>
      </c>
      <c r="H77" s="51" t="s">
        <v>315</v>
      </c>
      <c r="I77" s="51" t="s">
        <v>360</v>
      </c>
      <c r="J77" s="52">
        <v>72500</v>
      </c>
      <c r="K77" s="61">
        <f t="shared" si="28"/>
        <v>3900</v>
      </c>
      <c r="L77" s="50" t="s">
        <v>24</v>
      </c>
      <c r="M77" s="54">
        <f t="shared" si="29"/>
        <v>68600</v>
      </c>
      <c r="N77" s="65">
        <f t="shared" si="37"/>
        <v>3900</v>
      </c>
      <c r="O77" s="55">
        <f t="shared" si="30"/>
        <v>72500</v>
      </c>
      <c r="P77" s="43"/>
      <c r="Q77" s="41" t="s">
        <v>430</v>
      </c>
      <c r="R77" s="10"/>
      <c r="S77" s="10">
        <f t="shared" si="31"/>
        <v>72500</v>
      </c>
      <c r="T77" s="10">
        <f t="shared" si="32"/>
        <v>103571.42857142858</v>
      </c>
      <c r="U77" s="11">
        <f t="shared" si="33"/>
        <v>118367.34693877552</v>
      </c>
      <c r="V77" s="12">
        <f t="shared" si="34"/>
        <v>0.12499999999999999</v>
      </c>
      <c r="W77" s="11">
        <f t="shared" si="35"/>
        <v>118400</v>
      </c>
      <c r="X77" s="26">
        <f t="shared" si="36"/>
        <v>0.30000000000000004</v>
      </c>
      <c r="Y77" s="13"/>
      <c r="Z77" s="13"/>
      <c r="AA77" s="14"/>
    </row>
    <row r="78" spans="1:27" ht="14.4" customHeight="1">
      <c r="A78" s="75"/>
      <c r="B78" s="46"/>
      <c r="C78" s="56" t="s">
        <v>92</v>
      </c>
      <c r="D78" s="48" t="str">
        <f t="shared" si="26"/>
        <v xml:space="preserve"> 900</v>
      </c>
      <c r="E78" s="57" t="s">
        <v>92</v>
      </c>
      <c r="F78" s="50">
        <f t="shared" si="27"/>
        <v>0</v>
      </c>
      <c r="G78" s="51" t="s">
        <v>21</v>
      </c>
      <c r="H78" s="51" t="s">
        <v>316</v>
      </c>
      <c r="I78" s="51" t="s">
        <v>360</v>
      </c>
      <c r="J78" s="52">
        <v>70000</v>
      </c>
      <c r="K78" s="61">
        <f t="shared" si="28"/>
        <v>3900</v>
      </c>
      <c r="L78" s="50" t="s">
        <v>24</v>
      </c>
      <c r="M78" s="54">
        <f t="shared" si="29"/>
        <v>66100</v>
      </c>
      <c r="N78" s="65">
        <f t="shared" si="37"/>
        <v>3900</v>
      </c>
      <c r="O78" s="55">
        <f t="shared" si="30"/>
        <v>70000</v>
      </c>
      <c r="P78" s="43"/>
      <c r="Q78" s="41" t="s">
        <v>430</v>
      </c>
      <c r="R78" s="10"/>
      <c r="S78" s="10">
        <f t="shared" si="31"/>
        <v>70000</v>
      </c>
      <c r="T78" s="10">
        <f t="shared" si="32"/>
        <v>100000</v>
      </c>
      <c r="U78" s="11">
        <f t="shared" si="33"/>
        <v>114285.71428571429</v>
      </c>
      <c r="V78" s="12">
        <f t="shared" si="34"/>
        <v>0.12500000000000003</v>
      </c>
      <c r="W78" s="11">
        <f t="shared" si="35"/>
        <v>114300</v>
      </c>
      <c r="X78" s="26">
        <f t="shared" si="36"/>
        <v>0.3</v>
      </c>
      <c r="Y78" s="36">
        <v>105788</v>
      </c>
      <c r="Z78" s="29">
        <f>T78-Y78</f>
        <v>-5788</v>
      </c>
      <c r="AA78" s="30">
        <f>Z78/Y78</f>
        <v>-5.4713199984875414E-2</v>
      </c>
    </row>
    <row r="79" spans="1:27" ht="14.4" customHeight="1">
      <c r="A79" s="75"/>
      <c r="B79" s="46"/>
      <c r="C79" s="56" t="s">
        <v>244</v>
      </c>
      <c r="D79" s="48" t="str">
        <f t="shared" si="26"/>
        <v xml:space="preserve"> 386</v>
      </c>
      <c r="E79" s="57" t="s">
        <v>244</v>
      </c>
      <c r="F79" s="50">
        <f t="shared" si="27"/>
        <v>0</v>
      </c>
      <c r="G79" s="51" t="s">
        <v>300</v>
      </c>
      <c r="H79" s="51" t="s">
        <v>43</v>
      </c>
      <c r="I79" s="51" t="s">
        <v>362</v>
      </c>
      <c r="J79" s="62">
        <v>107500</v>
      </c>
      <c r="K79" s="61">
        <f t="shared" si="28"/>
        <v>0</v>
      </c>
      <c r="L79" s="63" t="s">
        <v>23</v>
      </c>
      <c r="M79" s="64">
        <v>107500</v>
      </c>
      <c r="N79" s="65">
        <f>2000+200+350+600+300+3000</f>
        <v>6450</v>
      </c>
      <c r="O79" s="55">
        <f t="shared" si="30"/>
        <v>113950</v>
      </c>
      <c r="P79" s="43"/>
      <c r="Q79" s="41" t="s">
        <v>437</v>
      </c>
      <c r="R79" s="10"/>
      <c r="S79" s="10">
        <f t="shared" si="31"/>
        <v>113950</v>
      </c>
      <c r="T79" s="10">
        <f t="shared" si="32"/>
        <v>162785.71428571429</v>
      </c>
      <c r="U79" s="11">
        <f t="shared" si="33"/>
        <v>186040.81632653062</v>
      </c>
      <c r="V79" s="12">
        <f t="shared" si="34"/>
        <v>0.12500000000000003</v>
      </c>
      <c r="W79" s="11">
        <f t="shared" si="35"/>
        <v>186100</v>
      </c>
      <c r="X79" s="26">
        <f t="shared" si="36"/>
        <v>0.30000000000000004</v>
      </c>
      <c r="Y79" s="13"/>
      <c r="Z79" s="13"/>
      <c r="AA79" s="13"/>
    </row>
    <row r="80" spans="1:27" ht="14.4" customHeight="1">
      <c r="A80" s="75"/>
      <c r="B80" s="46"/>
      <c r="C80" s="56" t="s">
        <v>245</v>
      </c>
      <c r="D80" s="48" t="str">
        <f t="shared" si="26"/>
        <v xml:space="preserve"> 375</v>
      </c>
      <c r="E80" s="57" t="s">
        <v>245</v>
      </c>
      <c r="F80" s="50">
        <f t="shared" si="27"/>
        <v>0</v>
      </c>
      <c r="G80" s="51" t="s">
        <v>300</v>
      </c>
      <c r="H80" s="51" t="s">
        <v>46</v>
      </c>
      <c r="I80" s="51" t="s">
        <v>362</v>
      </c>
      <c r="J80" s="62">
        <f>M80</f>
        <v>101000</v>
      </c>
      <c r="K80" s="61">
        <f t="shared" si="28"/>
        <v>0</v>
      </c>
      <c r="L80" s="63" t="s">
        <v>23</v>
      </c>
      <c r="M80" s="62">
        <v>101000</v>
      </c>
      <c r="N80" s="65">
        <f>2000+200+350+600+300+3000</f>
        <v>6450</v>
      </c>
      <c r="O80" s="55">
        <f t="shared" si="30"/>
        <v>107450</v>
      </c>
      <c r="P80" s="43"/>
      <c r="Q80" s="41" t="s">
        <v>437</v>
      </c>
      <c r="R80" s="10"/>
      <c r="S80" s="10">
        <f t="shared" si="31"/>
        <v>107450</v>
      </c>
      <c r="T80" s="10">
        <f t="shared" si="32"/>
        <v>153500</v>
      </c>
      <c r="U80" s="11">
        <f t="shared" si="33"/>
        <v>175428.57142857142</v>
      </c>
      <c r="V80" s="12">
        <f t="shared" si="34"/>
        <v>0.12499999999999996</v>
      </c>
      <c r="W80" s="11">
        <f t="shared" si="35"/>
        <v>175500</v>
      </c>
      <c r="X80" s="26">
        <f t="shared" si="36"/>
        <v>0.3</v>
      </c>
      <c r="Y80" s="13"/>
      <c r="Z80" s="13"/>
      <c r="AA80" s="13"/>
    </row>
    <row r="81" spans="1:27" ht="14.4" customHeight="1">
      <c r="A81" s="75"/>
      <c r="B81" s="46"/>
      <c r="C81" s="56" t="s">
        <v>47</v>
      </c>
      <c r="D81" s="48" t="str">
        <f t="shared" si="26"/>
        <v xml:space="preserve"> 431</v>
      </c>
      <c r="E81" s="57" t="s">
        <v>47</v>
      </c>
      <c r="F81" s="50">
        <f t="shared" si="27"/>
        <v>0</v>
      </c>
      <c r="G81" s="51" t="s">
        <v>21</v>
      </c>
      <c r="H81" s="51" t="s">
        <v>43</v>
      </c>
      <c r="I81" s="51" t="s">
        <v>362</v>
      </c>
      <c r="J81" s="62">
        <f>M81</f>
        <v>101000</v>
      </c>
      <c r="K81" s="61">
        <f t="shared" si="28"/>
        <v>0</v>
      </c>
      <c r="L81" s="63" t="s">
        <v>23</v>
      </c>
      <c r="M81" s="67">
        <v>101000</v>
      </c>
      <c r="N81" s="65">
        <f>2000+200+300+800+2850</f>
        <v>6150</v>
      </c>
      <c r="O81" s="55">
        <f t="shared" si="30"/>
        <v>107150</v>
      </c>
      <c r="P81" s="43"/>
      <c r="Q81" s="41" t="s">
        <v>438</v>
      </c>
      <c r="R81" s="10"/>
      <c r="S81" s="10">
        <f t="shared" si="31"/>
        <v>107150</v>
      </c>
      <c r="T81" s="10">
        <f t="shared" si="32"/>
        <v>153071.42857142858</v>
      </c>
      <c r="U81" s="11">
        <f t="shared" si="33"/>
        <v>174938.77551020408</v>
      </c>
      <c r="V81" s="12">
        <f t="shared" si="34"/>
        <v>0.12499999999999996</v>
      </c>
      <c r="W81" s="11">
        <f t="shared" si="35"/>
        <v>175000</v>
      </c>
      <c r="X81" s="26">
        <f t="shared" si="36"/>
        <v>0.30000000000000004</v>
      </c>
      <c r="Y81" s="36">
        <v>149538</v>
      </c>
      <c r="Z81" s="29">
        <f>T81-Y81</f>
        <v>3533.4285714285797</v>
      </c>
      <c r="AA81" s="30">
        <f>Z81/Y81</f>
        <v>2.3628967696696358E-2</v>
      </c>
    </row>
    <row r="82" spans="1:27" ht="14.4" customHeight="1">
      <c r="A82" s="75"/>
      <c r="B82" s="46"/>
      <c r="C82" s="56" t="s">
        <v>482</v>
      </c>
      <c r="D82" s="48" t="str">
        <f t="shared" si="26"/>
        <v xml:space="preserve"> 275</v>
      </c>
      <c r="E82" s="58" t="s">
        <v>482</v>
      </c>
      <c r="F82" s="50">
        <f t="shared" si="27"/>
        <v>0</v>
      </c>
      <c r="G82" s="51" t="s">
        <v>300</v>
      </c>
      <c r="H82" s="51" t="s">
        <v>43</v>
      </c>
      <c r="I82" s="51" t="s">
        <v>362</v>
      </c>
      <c r="J82" s="62"/>
      <c r="K82" s="61"/>
      <c r="L82" s="63"/>
      <c r="M82" s="67"/>
      <c r="N82" s="65"/>
      <c r="O82" s="55"/>
      <c r="P82" s="43"/>
      <c r="Q82" s="41"/>
      <c r="R82" s="10"/>
      <c r="S82" s="10"/>
      <c r="T82" s="10"/>
      <c r="U82" s="11"/>
      <c r="V82" s="12"/>
      <c r="W82" s="11"/>
      <c r="X82" s="26"/>
      <c r="Y82" s="13"/>
      <c r="Z82" s="13"/>
      <c r="AA82" s="13"/>
    </row>
    <row r="83" spans="1:27" ht="14.4" customHeight="1">
      <c r="A83" s="75"/>
      <c r="B83" s="46"/>
      <c r="C83" s="56" t="s">
        <v>91</v>
      </c>
      <c r="D83" s="48" t="str">
        <f t="shared" si="26"/>
        <v xml:space="preserve"> 822</v>
      </c>
      <c r="E83" s="58" t="s">
        <v>91</v>
      </c>
      <c r="F83" s="50">
        <f t="shared" si="27"/>
        <v>0</v>
      </c>
      <c r="G83" s="51" t="s">
        <v>21</v>
      </c>
      <c r="H83" s="51" t="s">
        <v>325</v>
      </c>
      <c r="I83" s="51" t="s">
        <v>362</v>
      </c>
      <c r="J83" s="62"/>
      <c r="K83" s="61"/>
      <c r="L83" s="63"/>
      <c r="M83" s="67"/>
      <c r="N83" s="65"/>
      <c r="O83" s="55"/>
      <c r="P83" s="43"/>
      <c r="Q83" s="41"/>
      <c r="R83" s="10"/>
      <c r="S83" s="10"/>
      <c r="T83" s="10"/>
      <c r="U83" s="11"/>
      <c r="V83" s="12"/>
      <c r="W83" s="11"/>
      <c r="X83" s="26"/>
      <c r="Y83" s="36">
        <v>0</v>
      </c>
      <c r="Z83" s="29">
        <f t="shared" ref="Z83:Z91" si="38">T83-Y83</f>
        <v>0</v>
      </c>
      <c r="AA83" s="30" t="e">
        <f t="shared" ref="AA83:AA91" si="39">Z83/Y83</f>
        <v>#DIV/0!</v>
      </c>
    </row>
    <row r="84" spans="1:27" ht="14.4" customHeight="1">
      <c r="A84" s="75"/>
      <c r="B84" s="46"/>
      <c r="C84" s="56" t="s">
        <v>34</v>
      </c>
      <c r="D84" s="48" t="str">
        <f t="shared" si="26"/>
        <v xml:space="preserve"> 142</v>
      </c>
      <c r="E84" s="58" t="s">
        <v>34</v>
      </c>
      <c r="F84" s="50">
        <f t="shared" si="27"/>
        <v>0</v>
      </c>
      <c r="G84" s="51" t="s">
        <v>21</v>
      </c>
      <c r="H84" s="51" t="s">
        <v>29</v>
      </c>
      <c r="I84" s="51" t="s">
        <v>362</v>
      </c>
      <c r="J84" s="62"/>
      <c r="K84" s="61"/>
      <c r="L84" s="63"/>
      <c r="M84" s="67"/>
      <c r="N84" s="65"/>
      <c r="O84" s="55"/>
      <c r="P84" s="43"/>
      <c r="Q84" s="41"/>
      <c r="R84" s="10"/>
      <c r="S84" s="10"/>
      <c r="T84" s="10"/>
      <c r="U84" s="11"/>
      <c r="V84" s="12"/>
      <c r="W84" s="11"/>
      <c r="X84" s="26"/>
      <c r="Y84" s="36">
        <v>0</v>
      </c>
      <c r="Z84" s="29">
        <f t="shared" si="38"/>
        <v>0</v>
      </c>
      <c r="AA84" s="30" t="e">
        <f t="shared" si="39"/>
        <v>#DIV/0!</v>
      </c>
    </row>
    <row r="85" spans="1:27" ht="14.4" customHeight="1">
      <c r="A85" s="75"/>
      <c r="B85" s="46"/>
      <c r="C85" s="56" t="s">
        <v>44</v>
      </c>
      <c r="D85" s="48" t="str">
        <f t="shared" si="26"/>
        <v xml:space="preserve"> 722</v>
      </c>
      <c r="E85" s="57" t="s">
        <v>44</v>
      </c>
      <c r="F85" s="50">
        <f t="shared" si="27"/>
        <v>0</v>
      </c>
      <c r="G85" s="51" t="s">
        <v>21</v>
      </c>
      <c r="H85" s="51" t="s">
        <v>306</v>
      </c>
      <c r="I85" s="51" t="s">
        <v>362</v>
      </c>
      <c r="J85" s="62">
        <f t="shared" ref="J85:J102" si="40">M85</f>
        <v>88500</v>
      </c>
      <c r="K85" s="61">
        <f t="shared" ref="K85:K107" si="41">J85-M85</f>
        <v>0</v>
      </c>
      <c r="L85" s="63" t="s">
        <v>23</v>
      </c>
      <c r="M85" s="67">
        <v>88500</v>
      </c>
      <c r="N85" s="65">
        <f>2000+200+300+800+800+2850</f>
        <v>6950</v>
      </c>
      <c r="O85" s="55">
        <f t="shared" ref="O85:O103" si="42">M85+N85</f>
        <v>95450</v>
      </c>
      <c r="P85" s="43"/>
      <c r="Q85" s="41" t="s">
        <v>439</v>
      </c>
      <c r="R85" s="10"/>
      <c r="S85" s="10">
        <f t="shared" ref="S85:S107" si="43">R85+O85</f>
        <v>95450</v>
      </c>
      <c r="T85" s="10">
        <f t="shared" ref="T85:T107" si="44">S85/0.7</f>
        <v>136357.14285714287</v>
      </c>
      <c r="U85" s="11">
        <f t="shared" ref="U85:U107" si="45">T85/0.875</f>
        <v>155836.73469387757</v>
      </c>
      <c r="V85" s="12">
        <f t="shared" ref="V85:V107" si="46">(U85-T85)/U85</f>
        <v>0.12500000000000006</v>
      </c>
      <c r="W85" s="11">
        <f t="shared" ref="W85:W107" si="47">(ROUNDUP((U85/100),0))*100</f>
        <v>155900</v>
      </c>
      <c r="X85" s="26">
        <f t="shared" ref="X85:X107" si="48">(T85-O85)/T85</f>
        <v>0.30000000000000004</v>
      </c>
      <c r="Y85" s="36">
        <v>131425</v>
      </c>
      <c r="Z85" s="29">
        <f t="shared" si="38"/>
        <v>4932.1428571428696</v>
      </c>
      <c r="AA85" s="30">
        <f t="shared" si="39"/>
        <v>3.7528193700915882E-2</v>
      </c>
    </row>
    <row r="86" spans="1:27" ht="14.4" customHeight="1">
      <c r="A86" s="75"/>
      <c r="B86" s="46"/>
      <c r="C86" s="56" t="s">
        <v>41</v>
      </c>
      <c r="D86" s="48" t="str">
        <f t="shared" si="26"/>
        <v xml:space="preserve"> 658</v>
      </c>
      <c r="E86" s="57" t="s">
        <v>41</v>
      </c>
      <c r="F86" s="50">
        <f t="shared" si="27"/>
        <v>0</v>
      </c>
      <c r="G86" s="51" t="s">
        <v>21</v>
      </c>
      <c r="H86" s="51" t="s">
        <v>40</v>
      </c>
      <c r="I86" s="51" t="s">
        <v>362</v>
      </c>
      <c r="J86" s="62">
        <f t="shared" si="40"/>
        <v>69000</v>
      </c>
      <c r="K86" s="61">
        <f t="shared" si="41"/>
        <v>0</v>
      </c>
      <c r="L86" s="63" t="s">
        <v>23</v>
      </c>
      <c r="M86" s="67">
        <v>69000</v>
      </c>
      <c r="N86" s="65">
        <f>2000+200+350+600+550+800</f>
        <v>4500</v>
      </c>
      <c r="O86" s="55">
        <f t="shared" si="42"/>
        <v>73500</v>
      </c>
      <c r="P86" s="43"/>
      <c r="Q86" s="41" t="s">
        <v>440</v>
      </c>
      <c r="R86" s="10"/>
      <c r="S86" s="10">
        <f t="shared" si="43"/>
        <v>73500</v>
      </c>
      <c r="T86" s="10">
        <f t="shared" si="44"/>
        <v>105000</v>
      </c>
      <c r="U86" s="11">
        <f t="shared" si="45"/>
        <v>120000</v>
      </c>
      <c r="V86" s="12">
        <f t="shared" si="46"/>
        <v>0.125</v>
      </c>
      <c r="W86" s="11">
        <f t="shared" si="47"/>
        <v>120000</v>
      </c>
      <c r="X86" s="26">
        <f t="shared" si="48"/>
        <v>0.3</v>
      </c>
      <c r="Y86" s="36">
        <v>99225</v>
      </c>
      <c r="Z86" s="29">
        <f t="shared" si="38"/>
        <v>5775</v>
      </c>
      <c r="AA86" s="30">
        <f t="shared" si="39"/>
        <v>5.8201058201058198E-2</v>
      </c>
    </row>
    <row r="87" spans="1:27" ht="14.4" customHeight="1">
      <c r="A87" s="75"/>
      <c r="B87" s="46"/>
      <c r="C87" s="56" t="s">
        <v>87</v>
      </c>
      <c r="D87" s="48" t="str">
        <f t="shared" si="26"/>
        <v xml:space="preserve"> 153</v>
      </c>
      <c r="E87" s="57" t="s">
        <v>87</v>
      </c>
      <c r="F87" s="50">
        <f t="shared" si="27"/>
        <v>0</v>
      </c>
      <c r="G87" s="51" t="s">
        <v>21</v>
      </c>
      <c r="H87" s="51" t="s">
        <v>29</v>
      </c>
      <c r="I87" s="51" t="s">
        <v>362</v>
      </c>
      <c r="J87" s="62">
        <f t="shared" si="40"/>
        <v>81500</v>
      </c>
      <c r="K87" s="61">
        <f t="shared" si="41"/>
        <v>0</v>
      </c>
      <c r="L87" s="63" t="s">
        <v>23</v>
      </c>
      <c r="M87" s="67">
        <v>81500</v>
      </c>
      <c r="N87" s="65">
        <f>2000+200+300+800+500+2850</f>
        <v>6650</v>
      </c>
      <c r="O87" s="55">
        <f t="shared" si="42"/>
        <v>88150</v>
      </c>
      <c r="P87" s="43"/>
      <c r="Q87" s="41" t="s">
        <v>421</v>
      </c>
      <c r="R87" s="10"/>
      <c r="S87" s="10">
        <f t="shared" si="43"/>
        <v>88150</v>
      </c>
      <c r="T87" s="10">
        <f t="shared" si="44"/>
        <v>125928.57142857143</v>
      </c>
      <c r="U87" s="11">
        <f t="shared" si="45"/>
        <v>143918.36734693879</v>
      </c>
      <c r="V87" s="12">
        <f t="shared" si="46"/>
        <v>0.12500000000000003</v>
      </c>
      <c r="W87" s="11">
        <f t="shared" si="47"/>
        <v>144000</v>
      </c>
      <c r="X87" s="26">
        <f t="shared" si="48"/>
        <v>0.30000000000000004</v>
      </c>
      <c r="Y87" s="36">
        <v>123813</v>
      </c>
      <c r="Z87" s="29">
        <f t="shared" si="38"/>
        <v>2115.5714285714348</v>
      </c>
      <c r="AA87" s="30">
        <f t="shared" si="39"/>
        <v>1.7086827946753855E-2</v>
      </c>
    </row>
    <row r="88" spans="1:27" ht="14.4" customHeight="1">
      <c r="A88" s="75"/>
      <c r="B88" s="46"/>
      <c r="C88" s="56" t="s">
        <v>88</v>
      </c>
      <c r="D88" s="48" t="str">
        <f t="shared" si="26"/>
        <v xml:space="preserve"> 265</v>
      </c>
      <c r="E88" s="57" t="s">
        <v>88</v>
      </c>
      <c r="F88" s="50">
        <f t="shared" si="27"/>
        <v>0</v>
      </c>
      <c r="G88" s="51" t="s">
        <v>21</v>
      </c>
      <c r="H88" s="51" t="s">
        <v>29</v>
      </c>
      <c r="I88" s="51" t="s">
        <v>362</v>
      </c>
      <c r="J88" s="62">
        <f t="shared" si="40"/>
        <v>81500</v>
      </c>
      <c r="K88" s="61">
        <f t="shared" si="41"/>
        <v>0</v>
      </c>
      <c r="L88" s="63" t="s">
        <v>23</v>
      </c>
      <c r="M88" s="67">
        <v>81500</v>
      </c>
      <c r="N88" s="65">
        <f>2000+200+300+800+500+2850</f>
        <v>6650</v>
      </c>
      <c r="O88" s="55">
        <f t="shared" si="42"/>
        <v>88150</v>
      </c>
      <c r="P88" s="44"/>
      <c r="Q88" s="41" t="s">
        <v>421</v>
      </c>
      <c r="R88" s="10"/>
      <c r="S88" s="10">
        <f t="shared" si="43"/>
        <v>88150</v>
      </c>
      <c r="T88" s="10">
        <f t="shared" si="44"/>
        <v>125928.57142857143</v>
      </c>
      <c r="U88" s="11">
        <f t="shared" si="45"/>
        <v>143918.36734693879</v>
      </c>
      <c r="V88" s="12">
        <f t="shared" si="46"/>
        <v>0.12500000000000003</v>
      </c>
      <c r="W88" s="11">
        <f t="shared" si="47"/>
        <v>144000</v>
      </c>
      <c r="X88" s="26">
        <f t="shared" si="48"/>
        <v>0.30000000000000004</v>
      </c>
      <c r="Y88" s="36">
        <v>123813</v>
      </c>
      <c r="Z88" s="29">
        <f t="shared" si="38"/>
        <v>2115.5714285714348</v>
      </c>
      <c r="AA88" s="30">
        <f t="shared" si="39"/>
        <v>1.7086827946753855E-2</v>
      </c>
    </row>
    <row r="89" spans="1:27" ht="14.4" customHeight="1">
      <c r="A89" s="75"/>
      <c r="B89" s="46"/>
      <c r="C89" s="56" t="s">
        <v>86</v>
      </c>
      <c r="D89" s="48" t="str">
        <f t="shared" si="26"/>
        <v xml:space="preserve"> 442</v>
      </c>
      <c r="E89" s="57" t="s">
        <v>86</v>
      </c>
      <c r="F89" s="50">
        <f t="shared" si="27"/>
        <v>0</v>
      </c>
      <c r="G89" s="51" t="s">
        <v>21</v>
      </c>
      <c r="H89" s="51" t="s">
        <v>29</v>
      </c>
      <c r="I89" s="51" t="s">
        <v>362</v>
      </c>
      <c r="J89" s="62">
        <f t="shared" si="40"/>
        <v>87000</v>
      </c>
      <c r="K89" s="61">
        <f t="shared" si="41"/>
        <v>0</v>
      </c>
      <c r="L89" s="63" t="s">
        <v>23</v>
      </c>
      <c r="M89" s="67">
        <v>87000</v>
      </c>
      <c r="N89" s="65">
        <f>2000+200+300+800+500+2850</f>
        <v>6650</v>
      </c>
      <c r="O89" s="55">
        <f t="shared" si="42"/>
        <v>93650</v>
      </c>
      <c r="P89" s="44"/>
      <c r="Q89" s="41" t="s">
        <v>421</v>
      </c>
      <c r="R89" s="10"/>
      <c r="S89" s="10">
        <f t="shared" si="43"/>
        <v>93650</v>
      </c>
      <c r="T89" s="10">
        <f t="shared" si="44"/>
        <v>133785.71428571429</v>
      </c>
      <c r="U89" s="11">
        <f t="shared" si="45"/>
        <v>152897.95918367346</v>
      </c>
      <c r="V89" s="12">
        <f t="shared" si="46"/>
        <v>0.12499999999999993</v>
      </c>
      <c r="W89" s="11">
        <f t="shared" si="47"/>
        <v>152900</v>
      </c>
      <c r="X89" s="26">
        <f t="shared" si="48"/>
        <v>0.30000000000000004</v>
      </c>
      <c r="Y89" s="36">
        <v>132388</v>
      </c>
      <c r="Z89" s="29">
        <f t="shared" si="38"/>
        <v>1397.7142857142899</v>
      </c>
      <c r="AA89" s="30">
        <f t="shared" si="39"/>
        <v>1.055771131608824E-2</v>
      </c>
    </row>
    <row r="90" spans="1:27" ht="14.4" customHeight="1">
      <c r="A90" s="75"/>
      <c r="B90" s="46"/>
      <c r="C90" s="56" t="s">
        <v>85</v>
      </c>
      <c r="D90" s="48" t="str">
        <f t="shared" si="26"/>
        <v xml:space="preserve"> 373</v>
      </c>
      <c r="E90" s="57" t="s">
        <v>85</v>
      </c>
      <c r="F90" s="50">
        <f t="shared" si="27"/>
        <v>0</v>
      </c>
      <c r="G90" s="51" t="s">
        <v>21</v>
      </c>
      <c r="H90" s="51" t="s">
        <v>29</v>
      </c>
      <c r="I90" s="51" t="s">
        <v>362</v>
      </c>
      <c r="J90" s="62">
        <f t="shared" si="40"/>
        <v>87000</v>
      </c>
      <c r="K90" s="61">
        <f t="shared" si="41"/>
        <v>0</v>
      </c>
      <c r="L90" s="63" t="s">
        <v>23</v>
      </c>
      <c r="M90" s="67">
        <v>87000</v>
      </c>
      <c r="N90" s="65">
        <f>2000+400+1000+800+2850</f>
        <v>7050</v>
      </c>
      <c r="O90" s="55">
        <f t="shared" si="42"/>
        <v>94050</v>
      </c>
      <c r="P90" s="44"/>
      <c r="Q90" s="41" t="s">
        <v>441</v>
      </c>
      <c r="R90" s="10"/>
      <c r="S90" s="10">
        <f t="shared" si="43"/>
        <v>94050</v>
      </c>
      <c r="T90" s="10">
        <f t="shared" si="44"/>
        <v>134357.14285714287</v>
      </c>
      <c r="U90" s="11">
        <f t="shared" si="45"/>
        <v>153551.02040816328</v>
      </c>
      <c r="V90" s="12">
        <f t="shared" si="46"/>
        <v>0.12500000000000003</v>
      </c>
      <c r="W90" s="11">
        <f t="shared" si="47"/>
        <v>153600</v>
      </c>
      <c r="X90" s="26">
        <f t="shared" si="48"/>
        <v>0.30000000000000004</v>
      </c>
      <c r="Y90" s="36">
        <v>127225</v>
      </c>
      <c r="Z90" s="29">
        <f t="shared" si="38"/>
        <v>7132.1428571428696</v>
      </c>
      <c r="AA90" s="30">
        <f t="shared" si="39"/>
        <v>5.6059287538949655E-2</v>
      </c>
    </row>
    <row r="91" spans="1:27" ht="14.4" customHeight="1">
      <c r="A91" s="75"/>
      <c r="B91" s="46"/>
      <c r="C91" s="56" t="s">
        <v>38</v>
      </c>
      <c r="D91" s="48" t="str">
        <f t="shared" si="26"/>
        <v xml:space="preserve"> 222</v>
      </c>
      <c r="E91" s="57" t="s">
        <v>38</v>
      </c>
      <c r="F91" s="50">
        <f t="shared" si="27"/>
        <v>0</v>
      </c>
      <c r="G91" s="51" t="s">
        <v>21</v>
      </c>
      <c r="H91" s="51" t="s">
        <v>316</v>
      </c>
      <c r="I91" s="51" t="s">
        <v>362</v>
      </c>
      <c r="J91" s="62">
        <f t="shared" si="40"/>
        <v>69000</v>
      </c>
      <c r="K91" s="61">
        <f t="shared" si="41"/>
        <v>0</v>
      </c>
      <c r="L91" s="63" t="s">
        <v>23</v>
      </c>
      <c r="M91" s="67">
        <v>69000</v>
      </c>
      <c r="N91" s="65">
        <f>2000+200+300+500+800</f>
        <v>3800</v>
      </c>
      <c r="O91" s="55">
        <f t="shared" si="42"/>
        <v>72800</v>
      </c>
      <c r="P91" s="43"/>
      <c r="Q91" s="41" t="s">
        <v>442</v>
      </c>
      <c r="R91" s="10"/>
      <c r="S91" s="10">
        <f t="shared" si="43"/>
        <v>72800</v>
      </c>
      <c r="T91" s="10">
        <f t="shared" si="44"/>
        <v>104000</v>
      </c>
      <c r="U91" s="11">
        <f t="shared" si="45"/>
        <v>118857.14285714286</v>
      </c>
      <c r="V91" s="12">
        <f t="shared" si="46"/>
        <v>0.12499999999999999</v>
      </c>
      <c r="W91" s="11">
        <f t="shared" si="47"/>
        <v>118900</v>
      </c>
      <c r="X91" s="26">
        <f t="shared" si="48"/>
        <v>0.3</v>
      </c>
      <c r="Y91" s="36">
        <v>106663</v>
      </c>
      <c r="Z91" s="29">
        <f t="shared" si="38"/>
        <v>-2663</v>
      </c>
      <c r="AA91" s="30">
        <f t="shared" si="39"/>
        <v>-2.4966483222860787E-2</v>
      </c>
    </row>
    <row r="92" spans="1:27" ht="14.4" customHeight="1">
      <c r="A92" s="75"/>
      <c r="B92" s="46"/>
      <c r="C92" s="56" t="s">
        <v>246</v>
      </c>
      <c r="D92" s="48" t="str">
        <f t="shared" si="26"/>
        <v xml:space="preserve"> 364</v>
      </c>
      <c r="E92" s="57" t="s">
        <v>246</v>
      </c>
      <c r="F92" s="50">
        <f t="shared" si="27"/>
        <v>0</v>
      </c>
      <c r="G92" s="51" t="s">
        <v>300</v>
      </c>
      <c r="H92" s="51" t="s">
        <v>306</v>
      </c>
      <c r="I92" s="51" t="s">
        <v>362</v>
      </c>
      <c r="J92" s="62">
        <f t="shared" si="40"/>
        <v>88500</v>
      </c>
      <c r="K92" s="61">
        <f t="shared" si="41"/>
        <v>0</v>
      </c>
      <c r="L92" s="63" t="s">
        <v>23</v>
      </c>
      <c r="M92" s="67">
        <v>88500</v>
      </c>
      <c r="N92" s="65">
        <f>2000+200+350+600+3000</f>
        <v>6150</v>
      </c>
      <c r="O92" s="55">
        <f t="shared" si="42"/>
        <v>94650</v>
      </c>
      <c r="P92" s="43"/>
      <c r="Q92" s="41" t="s">
        <v>438</v>
      </c>
      <c r="R92" s="10"/>
      <c r="S92" s="10">
        <f t="shared" si="43"/>
        <v>94650</v>
      </c>
      <c r="T92" s="10">
        <f t="shared" si="44"/>
        <v>135214.28571428571</v>
      </c>
      <c r="U92" s="11">
        <f t="shared" si="45"/>
        <v>154530.61224489796</v>
      </c>
      <c r="V92" s="12">
        <f t="shared" si="46"/>
        <v>0.12500000000000003</v>
      </c>
      <c r="W92" s="11">
        <f t="shared" si="47"/>
        <v>154600</v>
      </c>
      <c r="X92" s="26">
        <f t="shared" si="48"/>
        <v>0.3</v>
      </c>
      <c r="Y92" s="13"/>
      <c r="Z92" s="13"/>
      <c r="AA92" s="13"/>
    </row>
    <row r="93" spans="1:27" ht="14.4" customHeight="1">
      <c r="A93" s="75"/>
      <c r="B93" s="46"/>
      <c r="C93" s="56" t="s">
        <v>247</v>
      </c>
      <c r="D93" s="48" t="str">
        <f t="shared" si="26"/>
        <v xml:space="preserve"> 359</v>
      </c>
      <c r="E93" s="57" t="s">
        <v>247</v>
      </c>
      <c r="F93" s="50">
        <f t="shared" si="27"/>
        <v>0</v>
      </c>
      <c r="G93" s="51" t="s">
        <v>300</v>
      </c>
      <c r="H93" s="51" t="s">
        <v>46</v>
      </c>
      <c r="I93" s="51" t="s">
        <v>362</v>
      </c>
      <c r="J93" s="62">
        <f t="shared" si="40"/>
        <v>87000</v>
      </c>
      <c r="K93" s="61">
        <f t="shared" si="41"/>
        <v>0</v>
      </c>
      <c r="L93" s="63" t="s">
        <v>23</v>
      </c>
      <c r="M93" s="67">
        <v>87000</v>
      </c>
      <c r="N93" s="65">
        <f>2000+200+350+600+800</f>
        <v>3950</v>
      </c>
      <c r="O93" s="55">
        <f t="shared" si="42"/>
        <v>90950</v>
      </c>
      <c r="P93" s="44"/>
      <c r="Q93" s="41" t="s">
        <v>430</v>
      </c>
      <c r="R93" s="10"/>
      <c r="S93" s="10">
        <f t="shared" si="43"/>
        <v>90950</v>
      </c>
      <c r="T93" s="10">
        <f t="shared" si="44"/>
        <v>129928.57142857143</v>
      </c>
      <c r="U93" s="11">
        <f t="shared" si="45"/>
        <v>148489.79591836737</v>
      </c>
      <c r="V93" s="12">
        <f t="shared" si="46"/>
        <v>0.12500000000000008</v>
      </c>
      <c r="W93" s="11">
        <f t="shared" si="47"/>
        <v>148500</v>
      </c>
      <c r="X93" s="26">
        <f t="shared" si="48"/>
        <v>0.30000000000000004</v>
      </c>
      <c r="Y93" s="13"/>
      <c r="Z93" s="13"/>
      <c r="AA93" s="13"/>
    </row>
    <row r="94" spans="1:27" ht="14.4" customHeight="1">
      <c r="A94" s="75"/>
      <c r="B94" s="46"/>
      <c r="C94" s="56" t="s">
        <v>248</v>
      </c>
      <c r="D94" s="48" t="str">
        <f t="shared" si="26"/>
        <v xml:space="preserve"> 102</v>
      </c>
      <c r="E94" s="57" t="s">
        <v>248</v>
      </c>
      <c r="F94" s="50">
        <f t="shared" si="27"/>
        <v>0</v>
      </c>
      <c r="G94" s="51" t="s">
        <v>300</v>
      </c>
      <c r="H94" s="51" t="s">
        <v>307</v>
      </c>
      <c r="I94" s="51" t="s">
        <v>362</v>
      </c>
      <c r="J94" s="62">
        <f t="shared" si="40"/>
        <v>81000</v>
      </c>
      <c r="K94" s="61">
        <f t="shared" si="41"/>
        <v>0</v>
      </c>
      <c r="L94" s="63" t="s">
        <v>23</v>
      </c>
      <c r="M94" s="67">
        <v>81000</v>
      </c>
      <c r="N94" s="65">
        <f t="shared" ref="N94:N99" si="49">2000+200+350+600+300+800</f>
        <v>4250</v>
      </c>
      <c r="O94" s="55">
        <f t="shared" si="42"/>
        <v>85250</v>
      </c>
      <c r="P94" s="43"/>
      <c r="Q94" s="41" t="s">
        <v>422</v>
      </c>
      <c r="R94" s="10"/>
      <c r="S94" s="10">
        <f t="shared" si="43"/>
        <v>85250</v>
      </c>
      <c r="T94" s="10">
        <f t="shared" si="44"/>
        <v>121785.71428571429</v>
      </c>
      <c r="U94" s="11">
        <f t="shared" si="45"/>
        <v>139183.67346938775</v>
      </c>
      <c r="V94" s="12">
        <f t="shared" si="46"/>
        <v>0.12499999999999994</v>
      </c>
      <c r="W94" s="11">
        <f t="shared" si="47"/>
        <v>139200</v>
      </c>
      <c r="X94" s="26">
        <f t="shared" si="48"/>
        <v>0.30000000000000004</v>
      </c>
      <c r="Y94" s="13"/>
      <c r="Z94" s="13"/>
      <c r="AA94" s="13"/>
    </row>
    <row r="95" spans="1:27" ht="14.4" customHeight="1">
      <c r="A95" s="75"/>
      <c r="B95" s="46"/>
      <c r="C95" s="56" t="s">
        <v>249</v>
      </c>
      <c r="D95" s="48" t="str">
        <f t="shared" si="26"/>
        <v xml:space="preserve"> 726</v>
      </c>
      <c r="E95" s="57" t="s">
        <v>249</v>
      </c>
      <c r="F95" s="50">
        <f t="shared" si="27"/>
        <v>0</v>
      </c>
      <c r="G95" s="51" t="s">
        <v>300</v>
      </c>
      <c r="H95" s="51" t="s">
        <v>40</v>
      </c>
      <c r="I95" s="51" t="s">
        <v>362</v>
      </c>
      <c r="J95" s="62">
        <f t="shared" si="40"/>
        <v>69000</v>
      </c>
      <c r="K95" s="61">
        <f t="shared" si="41"/>
        <v>0</v>
      </c>
      <c r="L95" s="63" t="s">
        <v>23</v>
      </c>
      <c r="M95" s="67">
        <v>69000</v>
      </c>
      <c r="N95" s="65">
        <f t="shared" si="49"/>
        <v>4250</v>
      </c>
      <c r="O95" s="55">
        <f t="shared" si="42"/>
        <v>73250</v>
      </c>
      <c r="P95" s="43"/>
      <c r="Q95" s="41" t="s">
        <v>443</v>
      </c>
      <c r="R95" s="10"/>
      <c r="S95" s="10">
        <f t="shared" si="43"/>
        <v>73250</v>
      </c>
      <c r="T95" s="10">
        <f t="shared" si="44"/>
        <v>104642.85714285714</v>
      </c>
      <c r="U95" s="11">
        <f t="shared" si="45"/>
        <v>119591.83673469388</v>
      </c>
      <c r="V95" s="12">
        <f t="shared" si="46"/>
        <v>0.12499999999999997</v>
      </c>
      <c r="W95" s="11">
        <f t="shared" si="47"/>
        <v>119600</v>
      </c>
      <c r="X95" s="26">
        <f t="shared" si="48"/>
        <v>0.3</v>
      </c>
      <c r="Y95" s="13"/>
      <c r="Z95" s="13"/>
      <c r="AA95" s="14"/>
    </row>
    <row r="96" spans="1:27" ht="14.4" customHeight="1">
      <c r="A96" s="75"/>
      <c r="B96" s="46"/>
      <c r="C96" s="56" t="s">
        <v>250</v>
      </c>
      <c r="D96" s="48" t="str">
        <f t="shared" si="26"/>
        <v xml:space="preserve"> 168</v>
      </c>
      <c r="E96" s="57" t="s">
        <v>250</v>
      </c>
      <c r="F96" s="50">
        <f t="shared" si="27"/>
        <v>0</v>
      </c>
      <c r="G96" s="51" t="s">
        <v>300</v>
      </c>
      <c r="H96" s="51" t="s">
        <v>307</v>
      </c>
      <c r="I96" s="51" t="s">
        <v>362</v>
      </c>
      <c r="J96" s="62">
        <f t="shared" si="40"/>
        <v>81000</v>
      </c>
      <c r="K96" s="61">
        <f t="shared" si="41"/>
        <v>0</v>
      </c>
      <c r="L96" s="63" t="s">
        <v>23</v>
      </c>
      <c r="M96" s="67">
        <v>81000</v>
      </c>
      <c r="N96" s="65">
        <f t="shared" si="49"/>
        <v>4250</v>
      </c>
      <c r="O96" s="55">
        <f t="shared" si="42"/>
        <v>85250</v>
      </c>
      <c r="P96" s="43"/>
      <c r="Q96" s="41" t="s">
        <v>443</v>
      </c>
      <c r="R96" s="10"/>
      <c r="S96" s="10">
        <f t="shared" si="43"/>
        <v>85250</v>
      </c>
      <c r="T96" s="10">
        <f t="shared" si="44"/>
        <v>121785.71428571429</v>
      </c>
      <c r="U96" s="11">
        <f t="shared" si="45"/>
        <v>139183.67346938775</v>
      </c>
      <c r="V96" s="12">
        <f t="shared" si="46"/>
        <v>0.12499999999999994</v>
      </c>
      <c r="W96" s="11">
        <f t="shared" si="47"/>
        <v>139200</v>
      </c>
      <c r="X96" s="26">
        <f t="shared" si="48"/>
        <v>0.30000000000000004</v>
      </c>
      <c r="Y96" s="13"/>
      <c r="Z96" s="13"/>
      <c r="AA96" s="13"/>
    </row>
    <row r="97" spans="1:27" ht="14.4" customHeight="1">
      <c r="A97" s="75"/>
      <c r="B97" s="46"/>
      <c r="C97" s="56" t="s">
        <v>251</v>
      </c>
      <c r="D97" s="48" t="str">
        <f t="shared" si="26"/>
        <v xml:space="preserve"> 757</v>
      </c>
      <c r="E97" s="57" t="s">
        <v>251</v>
      </c>
      <c r="F97" s="50">
        <f t="shared" si="27"/>
        <v>0</v>
      </c>
      <c r="G97" s="51" t="s">
        <v>300</v>
      </c>
      <c r="H97" s="51" t="s">
        <v>325</v>
      </c>
      <c r="I97" s="51" t="s">
        <v>362</v>
      </c>
      <c r="J97" s="62">
        <f t="shared" si="40"/>
        <v>59000</v>
      </c>
      <c r="K97" s="61">
        <f t="shared" si="41"/>
        <v>0</v>
      </c>
      <c r="L97" s="63" t="s">
        <v>23</v>
      </c>
      <c r="M97" s="67">
        <v>59000</v>
      </c>
      <c r="N97" s="65">
        <f t="shared" si="49"/>
        <v>4250</v>
      </c>
      <c r="O97" s="55">
        <f t="shared" si="42"/>
        <v>63250</v>
      </c>
      <c r="P97" s="43"/>
      <c r="Q97" s="41" t="s">
        <v>444</v>
      </c>
      <c r="R97" s="10"/>
      <c r="S97" s="10">
        <f t="shared" si="43"/>
        <v>63250</v>
      </c>
      <c r="T97" s="10">
        <f t="shared" si="44"/>
        <v>90357.14285714287</v>
      </c>
      <c r="U97" s="11">
        <f t="shared" si="45"/>
        <v>103265.30612244899</v>
      </c>
      <c r="V97" s="12">
        <f t="shared" si="46"/>
        <v>0.125</v>
      </c>
      <c r="W97" s="11">
        <f t="shared" si="47"/>
        <v>103300</v>
      </c>
      <c r="X97" s="26">
        <f t="shared" si="48"/>
        <v>0.3000000000000001</v>
      </c>
      <c r="Y97" s="13"/>
      <c r="Z97" s="13"/>
      <c r="AA97" s="14"/>
    </row>
    <row r="98" spans="1:27" ht="14.4" customHeight="1">
      <c r="A98" s="75"/>
      <c r="B98" s="46"/>
      <c r="C98" s="56" t="s">
        <v>252</v>
      </c>
      <c r="D98" s="48" t="str">
        <f t="shared" si="26"/>
        <v xml:space="preserve"> 447</v>
      </c>
      <c r="E98" s="57" t="s">
        <v>252</v>
      </c>
      <c r="F98" s="50">
        <f t="shared" si="27"/>
        <v>0</v>
      </c>
      <c r="G98" s="51" t="s">
        <v>300</v>
      </c>
      <c r="H98" s="51" t="s">
        <v>325</v>
      </c>
      <c r="I98" s="51" t="s">
        <v>362</v>
      </c>
      <c r="J98" s="62">
        <f t="shared" si="40"/>
        <v>59000</v>
      </c>
      <c r="K98" s="61">
        <f t="shared" si="41"/>
        <v>0</v>
      </c>
      <c r="L98" s="63" t="s">
        <v>23</v>
      </c>
      <c r="M98" s="67">
        <v>59000</v>
      </c>
      <c r="N98" s="65">
        <f t="shared" si="49"/>
        <v>4250</v>
      </c>
      <c r="O98" s="55">
        <f t="shared" si="42"/>
        <v>63250</v>
      </c>
      <c r="P98" s="43"/>
      <c r="Q98" s="41" t="s">
        <v>445</v>
      </c>
      <c r="R98" s="10"/>
      <c r="S98" s="10">
        <f t="shared" si="43"/>
        <v>63250</v>
      </c>
      <c r="T98" s="10">
        <f t="shared" si="44"/>
        <v>90357.14285714287</v>
      </c>
      <c r="U98" s="11">
        <f t="shared" si="45"/>
        <v>103265.30612244899</v>
      </c>
      <c r="V98" s="12">
        <f t="shared" si="46"/>
        <v>0.125</v>
      </c>
      <c r="W98" s="11">
        <f t="shared" si="47"/>
        <v>103300</v>
      </c>
      <c r="X98" s="26">
        <f t="shared" si="48"/>
        <v>0.3000000000000001</v>
      </c>
      <c r="Y98" s="13"/>
      <c r="Z98" s="13"/>
      <c r="AA98" s="13"/>
    </row>
    <row r="99" spans="1:27" ht="14.4" customHeight="1">
      <c r="A99" s="75"/>
      <c r="B99" s="46"/>
      <c r="C99" s="56" t="s">
        <v>253</v>
      </c>
      <c r="D99" s="48" t="str">
        <f t="shared" si="26"/>
        <v xml:space="preserve"> 346</v>
      </c>
      <c r="E99" s="57" t="s">
        <v>253</v>
      </c>
      <c r="F99" s="50">
        <f t="shared" si="27"/>
        <v>0</v>
      </c>
      <c r="G99" s="51" t="s">
        <v>300</v>
      </c>
      <c r="H99" s="51" t="s">
        <v>304</v>
      </c>
      <c r="I99" s="51" t="s">
        <v>362</v>
      </c>
      <c r="J99" s="62">
        <f t="shared" si="40"/>
        <v>79000</v>
      </c>
      <c r="K99" s="61">
        <f t="shared" si="41"/>
        <v>0</v>
      </c>
      <c r="L99" s="63" t="s">
        <v>23</v>
      </c>
      <c r="M99" s="67">
        <v>79000</v>
      </c>
      <c r="N99" s="65">
        <f t="shared" si="49"/>
        <v>4250</v>
      </c>
      <c r="O99" s="55">
        <f t="shared" si="42"/>
        <v>83250</v>
      </c>
      <c r="P99" s="43"/>
      <c r="Q99" s="41" t="s">
        <v>446</v>
      </c>
      <c r="R99" s="10"/>
      <c r="S99" s="10">
        <f t="shared" si="43"/>
        <v>83250</v>
      </c>
      <c r="T99" s="10">
        <f t="shared" si="44"/>
        <v>118928.57142857143</v>
      </c>
      <c r="U99" s="11">
        <f t="shared" si="45"/>
        <v>135918.36734693879</v>
      </c>
      <c r="V99" s="12">
        <f t="shared" si="46"/>
        <v>0.12500000000000003</v>
      </c>
      <c r="W99" s="11">
        <f t="shared" si="47"/>
        <v>136000</v>
      </c>
      <c r="X99" s="26">
        <f t="shared" si="48"/>
        <v>0.30000000000000004</v>
      </c>
      <c r="Y99" s="13"/>
      <c r="Z99" s="13"/>
      <c r="AA99" s="14"/>
    </row>
    <row r="100" spans="1:27" ht="14.4" customHeight="1">
      <c r="A100" s="75"/>
      <c r="B100" s="46"/>
      <c r="C100" s="56" t="s">
        <v>254</v>
      </c>
      <c r="D100" s="48" t="str">
        <f t="shared" si="26"/>
        <v xml:space="preserve"> 927</v>
      </c>
      <c r="E100" s="57" t="s">
        <v>254</v>
      </c>
      <c r="F100" s="50">
        <f t="shared" si="27"/>
        <v>0</v>
      </c>
      <c r="G100" s="51" t="s">
        <v>300</v>
      </c>
      <c r="H100" s="51" t="s">
        <v>40</v>
      </c>
      <c r="I100" s="51" t="s">
        <v>362</v>
      </c>
      <c r="J100" s="62">
        <f t="shared" si="40"/>
        <v>75000</v>
      </c>
      <c r="K100" s="61">
        <f t="shared" si="41"/>
        <v>0</v>
      </c>
      <c r="L100" s="63" t="s">
        <v>23</v>
      </c>
      <c r="M100" s="67">
        <v>75000</v>
      </c>
      <c r="N100" s="65">
        <f>2000+200+350+600+300+3000</f>
        <v>6450</v>
      </c>
      <c r="O100" s="55">
        <f t="shared" si="42"/>
        <v>81450</v>
      </c>
      <c r="P100" s="43"/>
      <c r="Q100" s="41" t="s">
        <v>423</v>
      </c>
      <c r="R100" s="10"/>
      <c r="S100" s="10">
        <f t="shared" si="43"/>
        <v>81450</v>
      </c>
      <c r="T100" s="10">
        <f t="shared" si="44"/>
        <v>116357.14285714287</v>
      </c>
      <c r="U100" s="11">
        <f t="shared" si="45"/>
        <v>132979.5918367347</v>
      </c>
      <c r="V100" s="12">
        <f t="shared" si="46"/>
        <v>0.12499999999999997</v>
      </c>
      <c r="W100" s="11">
        <f t="shared" si="47"/>
        <v>133000</v>
      </c>
      <c r="X100" s="26">
        <f t="shared" si="48"/>
        <v>0.3000000000000001</v>
      </c>
      <c r="Y100" s="13"/>
      <c r="Z100" s="13"/>
      <c r="AA100" s="13"/>
    </row>
    <row r="101" spans="1:27" ht="14.4" customHeight="1">
      <c r="A101" s="75"/>
      <c r="B101" s="46"/>
      <c r="C101" s="56" t="s">
        <v>255</v>
      </c>
      <c r="D101" s="48" t="str">
        <f t="shared" si="26"/>
        <v xml:space="preserve"> 711</v>
      </c>
      <c r="E101" s="57" t="s">
        <v>255</v>
      </c>
      <c r="F101" s="50">
        <f t="shared" si="27"/>
        <v>0</v>
      </c>
      <c r="G101" s="51" t="s">
        <v>300</v>
      </c>
      <c r="H101" s="51" t="s">
        <v>46</v>
      </c>
      <c r="I101" s="51" t="s">
        <v>362</v>
      </c>
      <c r="J101" s="62">
        <f t="shared" si="40"/>
        <v>84000</v>
      </c>
      <c r="K101" s="61">
        <f t="shared" si="41"/>
        <v>0</v>
      </c>
      <c r="L101" s="63" t="s">
        <v>23</v>
      </c>
      <c r="M101" s="67">
        <v>84000</v>
      </c>
      <c r="N101" s="65">
        <f>2000+200+350+600+300+3000</f>
        <v>6450</v>
      </c>
      <c r="O101" s="55">
        <f t="shared" si="42"/>
        <v>90450</v>
      </c>
      <c r="P101" s="43"/>
      <c r="Q101" s="41" t="s">
        <v>423</v>
      </c>
      <c r="R101" s="10"/>
      <c r="S101" s="10">
        <f t="shared" si="43"/>
        <v>90450</v>
      </c>
      <c r="T101" s="10">
        <f t="shared" si="44"/>
        <v>129214.28571428572</v>
      </c>
      <c r="U101" s="11">
        <f t="shared" si="45"/>
        <v>147673.46938775512</v>
      </c>
      <c r="V101" s="12">
        <f t="shared" si="46"/>
        <v>0.12500000000000003</v>
      </c>
      <c r="W101" s="11">
        <f t="shared" si="47"/>
        <v>147700</v>
      </c>
      <c r="X101" s="26">
        <f t="shared" si="48"/>
        <v>0.30000000000000004</v>
      </c>
      <c r="Y101" s="13"/>
      <c r="Z101" s="13"/>
      <c r="AA101" s="14"/>
    </row>
    <row r="102" spans="1:27" ht="14.4" customHeight="1">
      <c r="A102" s="75"/>
      <c r="B102" s="46"/>
      <c r="C102" s="56" t="s">
        <v>256</v>
      </c>
      <c r="D102" s="48" t="str">
        <f t="shared" si="26"/>
        <v xml:space="preserve"> 343</v>
      </c>
      <c r="E102" s="57" t="s">
        <v>256</v>
      </c>
      <c r="F102" s="50">
        <f t="shared" si="27"/>
        <v>0</v>
      </c>
      <c r="G102" s="51" t="s">
        <v>300</v>
      </c>
      <c r="H102" s="51" t="s">
        <v>29</v>
      </c>
      <c r="I102" s="51" t="s">
        <v>362</v>
      </c>
      <c r="J102" s="62">
        <f t="shared" si="40"/>
        <v>87500</v>
      </c>
      <c r="K102" s="61">
        <f t="shared" si="41"/>
        <v>0</v>
      </c>
      <c r="L102" s="63" t="s">
        <v>23</v>
      </c>
      <c r="M102" s="67">
        <v>87500</v>
      </c>
      <c r="N102" s="65">
        <f>2000+200+350+600+300+800</f>
        <v>4250</v>
      </c>
      <c r="O102" s="55">
        <f t="shared" si="42"/>
        <v>91750</v>
      </c>
      <c r="P102" s="43"/>
      <c r="Q102" s="41" t="s">
        <v>443</v>
      </c>
      <c r="R102" s="10"/>
      <c r="S102" s="10">
        <f t="shared" si="43"/>
        <v>91750</v>
      </c>
      <c r="T102" s="10">
        <f t="shared" si="44"/>
        <v>131071.42857142858</v>
      </c>
      <c r="U102" s="11">
        <f t="shared" si="45"/>
        <v>149795.91836734695</v>
      </c>
      <c r="V102" s="12">
        <f t="shared" si="46"/>
        <v>0.12500000000000003</v>
      </c>
      <c r="W102" s="11">
        <f t="shared" si="47"/>
        <v>149800</v>
      </c>
      <c r="X102" s="26">
        <f t="shared" si="48"/>
        <v>0.30000000000000004</v>
      </c>
      <c r="Y102" s="13"/>
      <c r="Z102" s="13"/>
      <c r="AA102" s="13"/>
    </row>
    <row r="103" spans="1:27" ht="14.4" customHeight="1">
      <c r="A103" s="75"/>
      <c r="B103" s="46"/>
      <c r="C103" s="56" t="s">
        <v>227</v>
      </c>
      <c r="D103" s="48" t="str">
        <f t="shared" si="26"/>
        <v xml:space="preserve"> 990</v>
      </c>
      <c r="E103" s="57" t="s">
        <v>227</v>
      </c>
      <c r="F103" s="50">
        <f t="shared" si="27"/>
        <v>0</v>
      </c>
      <c r="G103" s="51" t="s">
        <v>300</v>
      </c>
      <c r="H103" s="51" t="s">
        <v>310</v>
      </c>
      <c r="I103" s="51" t="s">
        <v>358</v>
      </c>
      <c r="J103" s="52">
        <v>57400</v>
      </c>
      <c r="K103" s="61">
        <f t="shared" si="41"/>
        <v>7400</v>
      </c>
      <c r="L103" s="50" t="s">
        <v>24</v>
      </c>
      <c r="M103" s="54">
        <f>J103-N103</f>
        <v>50000</v>
      </c>
      <c r="N103" s="65">
        <f>2000+200+600+1000+3600</f>
        <v>7400</v>
      </c>
      <c r="O103" s="55">
        <f t="shared" si="42"/>
        <v>57400</v>
      </c>
      <c r="P103" s="44"/>
      <c r="Q103" s="41" t="s">
        <v>428</v>
      </c>
      <c r="R103" s="10"/>
      <c r="S103" s="10">
        <f t="shared" si="43"/>
        <v>57400</v>
      </c>
      <c r="T103" s="10">
        <f t="shared" si="44"/>
        <v>82000</v>
      </c>
      <c r="U103" s="11">
        <f t="shared" si="45"/>
        <v>93714.28571428571</v>
      </c>
      <c r="V103" s="12">
        <f t="shared" si="46"/>
        <v>0.12499999999999996</v>
      </c>
      <c r="W103" s="11">
        <f t="shared" si="47"/>
        <v>93800</v>
      </c>
      <c r="X103" s="26">
        <f t="shared" si="48"/>
        <v>0.3</v>
      </c>
      <c r="Y103" s="13"/>
      <c r="Z103" s="13"/>
      <c r="AA103" s="13"/>
    </row>
    <row r="104" spans="1:27">
      <c r="A104" s="75"/>
      <c r="B104" s="46"/>
      <c r="C104" s="56" t="s">
        <v>228</v>
      </c>
      <c r="D104" s="48" t="str">
        <f t="shared" si="26"/>
        <v xml:space="preserve"> 208</v>
      </c>
      <c r="E104" s="57" t="s">
        <v>228</v>
      </c>
      <c r="F104" s="50">
        <f t="shared" si="27"/>
        <v>0</v>
      </c>
      <c r="G104" s="51" t="s">
        <v>300</v>
      </c>
      <c r="H104" s="51" t="s">
        <v>319</v>
      </c>
      <c r="I104" s="51" t="s">
        <v>358</v>
      </c>
      <c r="J104" s="52">
        <v>65000</v>
      </c>
      <c r="K104" s="61">
        <f t="shared" si="41"/>
        <v>6650</v>
      </c>
      <c r="L104" s="50" t="s">
        <v>24</v>
      </c>
      <c r="M104" s="54">
        <f>J104-N104</f>
        <v>58350</v>
      </c>
      <c r="N104" s="65">
        <f>2000+200+250+600+3600</f>
        <v>6650</v>
      </c>
      <c r="O104" s="55">
        <f>N104+M104</f>
        <v>65000</v>
      </c>
      <c r="P104" s="44"/>
      <c r="Q104" s="41" t="s">
        <v>400</v>
      </c>
      <c r="R104" s="10"/>
      <c r="S104" s="10">
        <f t="shared" si="43"/>
        <v>65000</v>
      </c>
      <c r="T104" s="10">
        <f t="shared" si="44"/>
        <v>92857.14285714287</v>
      </c>
      <c r="U104" s="11">
        <f t="shared" si="45"/>
        <v>106122.44897959185</v>
      </c>
      <c r="V104" s="12">
        <f t="shared" si="46"/>
        <v>0.12499999999999999</v>
      </c>
      <c r="W104" s="11">
        <f t="shared" si="47"/>
        <v>106200</v>
      </c>
      <c r="X104" s="26">
        <f t="shared" si="48"/>
        <v>0.3000000000000001</v>
      </c>
      <c r="Y104" s="13"/>
      <c r="Z104" s="13"/>
      <c r="AA104" s="14"/>
    </row>
    <row r="105" spans="1:27">
      <c r="A105" s="75"/>
      <c r="B105" s="46"/>
      <c r="C105" s="56" t="s">
        <v>229</v>
      </c>
      <c r="D105" s="48" t="str">
        <f t="shared" si="26"/>
        <v xml:space="preserve"> 487</v>
      </c>
      <c r="E105" s="57" t="s">
        <v>229</v>
      </c>
      <c r="F105" s="50">
        <f t="shared" si="27"/>
        <v>0</v>
      </c>
      <c r="G105" s="51" t="s">
        <v>300</v>
      </c>
      <c r="H105" s="51" t="s">
        <v>309</v>
      </c>
      <c r="I105" s="51" t="s">
        <v>358</v>
      </c>
      <c r="J105" s="52">
        <v>133000</v>
      </c>
      <c r="K105" s="61">
        <f t="shared" si="41"/>
        <v>3050</v>
      </c>
      <c r="L105" s="50" t="s">
        <v>24</v>
      </c>
      <c r="M105" s="54">
        <f>J105-N105</f>
        <v>129950</v>
      </c>
      <c r="N105" s="65">
        <f>2000+200+250+600</f>
        <v>3050</v>
      </c>
      <c r="O105" s="55">
        <f>N105+M105</f>
        <v>133000</v>
      </c>
      <c r="P105" s="44"/>
      <c r="Q105" s="41" t="s">
        <v>429</v>
      </c>
      <c r="R105" s="10"/>
      <c r="S105" s="10">
        <f t="shared" si="43"/>
        <v>133000</v>
      </c>
      <c r="T105" s="10">
        <f t="shared" si="44"/>
        <v>190000</v>
      </c>
      <c r="U105" s="11">
        <f t="shared" si="45"/>
        <v>217142.85714285713</v>
      </c>
      <c r="V105" s="12">
        <f t="shared" si="46"/>
        <v>0.12499999999999994</v>
      </c>
      <c r="W105" s="11">
        <f t="shared" si="47"/>
        <v>217200</v>
      </c>
      <c r="X105" s="26">
        <f t="shared" si="48"/>
        <v>0.3</v>
      </c>
      <c r="Y105" s="13"/>
      <c r="Z105" s="13"/>
      <c r="AA105" s="13"/>
    </row>
    <row r="106" spans="1:27" ht="14.4" customHeight="1">
      <c r="A106" s="75"/>
      <c r="B106" s="46"/>
      <c r="C106" s="56" t="s">
        <v>262</v>
      </c>
      <c r="D106" s="48" t="str">
        <f t="shared" si="26"/>
        <v xml:space="preserve"> 502</v>
      </c>
      <c r="E106" s="57" t="s">
        <v>262</v>
      </c>
      <c r="F106" s="50">
        <f t="shared" si="27"/>
        <v>0</v>
      </c>
      <c r="G106" s="51" t="s">
        <v>300</v>
      </c>
      <c r="H106" s="51" t="s">
        <v>322</v>
      </c>
      <c r="I106" s="51" t="s">
        <v>365</v>
      </c>
      <c r="J106" s="52">
        <v>82500</v>
      </c>
      <c r="K106" s="61">
        <f t="shared" si="41"/>
        <v>6450</v>
      </c>
      <c r="L106" s="50" t="s">
        <v>24</v>
      </c>
      <c r="M106" s="54">
        <f>J106-N106</f>
        <v>76050</v>
      </c>
      <c r="N106" s="65">
        <f>300+2000+200+350+600+3000</f>
        <v>6450</v>
      </c>
      <c r="O106" s="55">
        <f>M106+N106</f>
        <v>82500</v>
      </c>
      <c r="P106" s="43"/>
      <c r="Q106" s="41" t="s">
        <v>453</v>
      </c>
      <c r="R106" s="10"/>
      <c r="S106" s="10">
        <f t="shared" si="43"/>
        <v>82500</v>
      </c>
      <c r="T106" s="10">
        <f t="shared" si="44"/>
        <v>117857.14285714287</v>
      </c>
      <c r="U106" s="11">
        <f t="shared" si="45"/>
        <v>134693.87755102041</v>
      </c>
      <c r="V106" s="12">
        <f t="shared" si="46"/>
        <v>0.12499999999999994</v>
      </c>
      <c r="W106" s="11">
        <f t="shared" si="47"/>
        <v>134700</v>
      </c>
      <c r="X106" s="26">
        <f t="shared" si="48"/>
        <v>0.3000000000000001</v>
      </c>
      <c r="Y106" s="13"/>
      <c r="Z106" s="13"/>
      <c r="AA106" s="13"/>
    </row>
    <row r="107" spans="1:27" ht="14.4" customHeight="1">
      <c r="A107" s="75"/>
      <c r="B107" s="46"/>
      <c r="C107" s="56" t="s">
        <v>263</v>
      </c>
      <c r="D107" s="48" t="str">
        <f t="shared" si="26"/>
        <v xml:space="preserve"> 227</v>
      </c>
      <c r="E107" s="57" t="s">
        <v>263</v>
      </c>
      <c r="F107" s="50">
        <f t="shared" si="27"/>
        <v>0</v>
      </c>
      <c r="G107" s="51" t="s">
        <v>300</v>
      </c>
      <c r="H107" s="51" t="s">
        <v>46</v>
      </c>
      <c r="I107" s="51" t="s">
        <v>365</v>
      </c>
      <c r="J107" s="52">
        <v>125000</v>
      </c>
      <c r="K107" s="61">
        <f t="shared" si="41"/>
        <v>6450</v>
      </c>
      <c r="L107" s="50" t="s">
        <v>24</v>
      </c>
      <c r="M107" s="54">
        <f>J107-N107</f>
        <v>118550</v>
      </c>
      <c r="N107" s="65">
        <f>300+2000+200+350+600+3000</f>
        <v>6450</v>
      </c>
      <c r="O107" s="55">
        <f>M107+N107</f>
        <v>125000</v>
      </c>
      <c r="P107" s="43"/>
      <c r="Q107" s="41" t="s">
        <v>453</v>
      </c>
      <c r="R107" s="10"/>
      <c r="S107" s="10">
        <f t="shared" si="43"/>
        <v>125000</v>
      </c>
      <c r="T107" s="10">
        <f t="shared" si="44"/>
        <v>178571.42857142858</v>
      </c>
      <c r="U107" s="11">
        <f t="shared" si="45"/>
        <v>204081.63265306124</v>
      </c>
      <c r="V107" s="12">
        <f t="shared" si="46"/>
        <v>0.12500000000000003</v>
      </c>
      <c r="W107" s="11">
        <f t="shared" si="47"/>
        <v>204100</v>
      </c>
      <c r="X107" s="26">
        <f t="shared" si="48"/>
        <v>0.30000000000000004</v>
      </c>
      <c r="Y107" s="13"/>
      <c r="Z107" s="13"/>
      <c r="AA107" s="14"/>
    </row>
    <row r="108" spans="1:27" ht="14.4" customHeight="1">
      <c r="A108" s="75"/>
      <c r="B108" s="46"/>
      <c r="C108" s="56" t="s">
        <v>478</v>
      </c>
      <c r="D108" s="48" t="str">
        <f t="shared" si="26"/>
        <v xml:space="preserve"> 984</v>
      </c>
      <c r="E108" s="58" t="s">
        <v>478</v>
      </c>
      <c r="F108" s="50">
        <f t="shared" si="27"/>
        <v>0</v>
      </c>
      <c r="G108" s="51" t="s">
        <v>300</v>
      </c>
      <c r="H108" s="51" t="s">
        <v>317</v>
      </c>
      <c r="I108" s="51" t="s">
        <v>365</v>
      </c>
      <c r="J108" s="52"/>
      <c r="K108" s="61"/>
      <c r="L108" s="50"/>
      <c r="M108" s="54"/>
      <c r="N108" s="65"/>
      <c r="O108" s="55"/>
      <c r="P108" s="43"/>
      <c r="Q108" s="41"/>
      <c r="R108" s="10"/>
      <c r="S108" s="10"/>
      <c r="T108" s="10"/>
      <c r="U108" s="11"/>
      <c r="V108" s="12"/>
      <c r="W108" s="11"/>
      <c r="X108" s="26"/>
      <c r="Y108" s="13"/>
      <c r="Z108" s="13"/>
      <c r="AA108" s="14"/>
    </row>
    <row r="109" spans="1:27" ht="14.4" customHeight="1">
      <c r="A109" s="75"/>
      <c r="B109" s="46"/>
      <c r="C109" s="56" t="s">
        <v>170</v>
      </c>
      <c r="D109" s="48" t="str">
        <f t="shared" si="26"/>
        <v xml:space="preserve"> 570</v>
      </c>
      <c r="E109" s="57" t="s">
        <v>170</v>
      </c>
      <c r="F109" s="50">
        <f t="shared" si="27"/>
        <v>0</v>
      </c>
      <c r="G109" s="51" t="s">
        <v>300</v>
      </c>
      <c r="H109" s="51" t="s">
        <v>313</v>
      </c>
      <c r="I109" s="51" t="s">
        <v>342</v>
      </c>
      <c r="J109" s="52">
        <v>97500</v>
      </c>
      <c r="K109" s="61">
        <f>2000+200+350+600+3000</f>
        <v>6150</v>
      </c>
      <c r="L109" s="50" t="s">
        <v>24</v>
      </c>
      <c r="M109" s="54">
        <f>J109-N109</f>
        <v>91350</v>
      </c>
      <c r="N109" s="54">
        <v>6150</v>
      </c>
      <c r="O109" s="55">
        <f t="shared" ref="O109:O115" si="50">M109+N109</f>
        <v>97500</v>
      </c>
      <c r="P109" s="43"/>
      <c r="Q109" s="41" t="s">
        <v>398</v>
      </c>
      <c r="R109" s="10"/>
      <c r="S109" s="10">
        <f t="shared" ref="S109:S115" si="51">R109+O109</f>
        <v>97500</v>
      </c>
      <c r="T109" s="10">
        <f t="shared" ref="T109:T115" si="52">S109/0.7</f>
        <v>139285.71428571429</v>
      </c>
      <c r="U109" s="11">
        <f t="shared" ref="U109:U115" si="53">T109/0.875</f>
        <v>159183.67346938775</v>
      </c>
      <c r="V109" s="12">
        <f t="shared" ref="V109:V115" si="54">(U109-T109)/U109</f>
        <v>0.12499999999999996</v>
      </c>
      <c r="W109" s="11">
        <f t="shared" ref="W109:W115" si="55">(ROUNDUP((U109/100),0))*100</f>
        <v>159200</v>
      </c>
      <c r="X109" s="26">
        <f t="shared" ref="X109:X115" si="56">(T109-O109)/T109</f>
        <v>0.30000000000000004</v>
      </c>
      <c r="Y109" s="13"/>
      <c r="Z109" s="13"/>
      <c r="AA109" s="13"/>
    </row>
    <row r="110" spans="1:27" ht="14.4" customHeight="1">
      <c r="A110" s="75"/>
      <c r="B110" s="46"/>
      <c r="C110" s="56" t="s">
        <v>48</v>
      </c>
      <c r="D110" s="48" t="str">
        <f t="shared" si="26"/>
        <v xml:space="preserve"> 758</v>
      </c>
      <c r="E110" s="57" t="s">
        <v>48</v>
      </c>
      <c r="F110" s="50">
        <f t="shared" si="27"/>
        <v>0</v>
      </c>
      <c r="G110" s="51" t="s">
        <v>21</v>
      </c>
      <c r="H110" s="51" t="s">
        <v>43</v>
      </c>
      <c r="I110" s="51" t="s">
        <v>342</v>
      </c>
      <c r="J110" s="52">
        <v>105000</v>
      </c>
      <c r="K110" s="53">
        <f>2000+200+350+600+3000+650</f>
        <v>6800</v>
      </c>
      <c r="L110" s="50" t="s">
        <v>24</v>
      </c>
      <c r="M110" s="54">
        <f>J110-N110</f>
        <v>98200</v>
      </c>
      <c r="N110" s="54">
        <v>6800</v>
      </c>
      <c r="O110" s="55">
        <f t="shared" si="50"/>
        <v>105000</v>
      </c>
      <c r="P110" s="42"/>
      <c r="Q110" s="41" t="s">
        <v>399</v>
      </c>
      <c r="R110" s="10"/>
      <c r="S110" s="10">
        <f t="shared" si="51"/>
        <v>105000</v>
      </c>
      <c r="T110" s="10">
        <f t="shared" si="52"/>
        <v>150000</v>
      </c>
      <c r="U110" s="11">
        <f t="shared" si="53"/>
        <v>171428.57142857142</v>
      </c>
      <c r="V110" s="12">
        <f t="shared" si="54"/>
        <v>0.12499999999999996</v>
      </c>
      <c r="W110" s="11">
        <f t="shared" si="55"/>
        <v>171500</v>
      </c>
      <c r="X110" s="26">
        <f t="shared" si="56"/>
        <v>0.3</v>
      </c>
      <c r="Y110" s="36">
        <v>132213</v>
      </c>
      <c r="Z110" s="29">
        <f>T110-Y110</f>
        <v>17787</v>
      </c>
      <c r="AA110" s="30">
        <f>Z110/Y110</f>
        <v>0.13453291279980031</v>
      </c>
    </row>
    <row r="111" spans="1:27" ht="14.4" customHeight="1">
      <c r="A111" s="75"/>
      <c r="B111" s="46"/>
      <c r="C111" s="56" t="s">
        <v>171</v>
      </c>
      <c r="D111" s="48" t="str">
        <f t="shared" si="26"/>
        <v xml:space="preserve"> 838</v>
      </c>
      <c r="E111" s="57" t="s">
        <v>171</v>
      </c>
      <c r="F111" s="50">
        <f t="shared" si="27"/>
        <v>0</v>
      </c>
      <c r="G111" s="51" t="s">
        <v>300</v>
      </c>
      <c r="H111" s="51" t="s">
        <v>306</v>
      </c>
      <c r="I111" s="51" t="s">
        <v>342</v>
      </c>
      <c r="J111" s="52">
        <v>102000</v>
      </c>
      <c r="K111" s="53">
        <f>2000+200+350+600+3000+650</f>
        <v>6800</v>
      </c>
      <c r="L111" s="50" t="s">
        <v>24</v>
      </c>
      <c r="M111" s="54">
        <f>J111-N111</f>
        <v>95200</v>
      </c>
      <c r="N111" s="54">
        <v>6800</v>
      </c>
      <c r="O111" s="55">
        <f t="shared" si="50"/>
        <v>102000</v>
      </c>
      <c r="P111" s="43"/>
      <c r="Q111" s="41" t="s">
        <v>399</v>
      </c>
      <c r="R111" s="10"/>
      <c r="S111" s="10">
        <f t="shared" si="51"/>
        <v>102000</v>
      </c>
      <c r="T111" s="10">
        <f t="shared" si="52"/>
        <v>145714.28571428571</v>
      </c>
      <c r="U111" s="11">
        <f t="shared" si="53"/>
        <v>166530.61224489796</v>
      </c>
      <c r="V111" s="12">
        <f t="shared" si="54"/>
        <v>0.12500000000000003</v>
      </c>
      <c r="W111" s="11">
        <f t="shared" si="55"/>
        <v>166600</v>
      </c>
      <c r="X111" s="26">
        <f t="shared" si="56"/>
        <v>0.3</v>
      </c>
      <c r="Y111" s="36"/>
      <c r="Z111" s="29"/>
      <c r="AA111" s="30"/>
    </row>
    <row r="112" spans="1:27" ht="14.4" customHeight="1">
      <c r="A112" s="75"/>
      <c r="B112" s="46"/>
      <c r="C112" s="56" t="s">
        <v>108</v>
      </c>
      <c r="D112" s="48" t="str">
        <f t="shared" si="26"/>
        <v xml:space="preserve"> 976</v>
      </c>
      <c r="E112" s="57" t="s">
        <v>108</v>
      </c>
      <c r="F112" s="50">
        <f t="shared" si="27"/>
        <v>0</v>
      </c>
      <c r="G112" s="51" t="s">
        <v>21</v>
      </c>
      <c r="H112" s="51" t="s">
        <v>321</v>
      </c>
      <c r="I112" s="51" t="s">
        <v>368</v>
      </c>
      <c r="J112" s="62">
        <f>M112</f>
        <v>63000</v>
      </c>
      <c r="K112" s="61">
        <f>J112-M112</f>
        <v>0</v>
      </c>
      <c r="L112" s="63" t="s">
        <v>23</v>
      </c>
      <c r="M112" s="67">
        <v>63000</v>
      </c>
      <c r="N112" s="65">
        <f>2000+200+350+600+3000</f>
        <v>6150</v>
      </c>
      <c r="O112" s="55">
        <f t="shared" si="50"/>
        <v>69150</v>
      </c>
      <c r="P112" s="43"/>
      <c r="Q112" s="41" t="s">
        <v>462</v>
      </c>
      <c r="R112" s="10"/>
      <c r="S112" s="10">
        <f t="shared" si="51"/>
        <v>69150</v>
      </c>
      <c r="T112" s="10">
        <f t="shared" si="52"/>
        <v>98785.71428571429</v>
      </c>
      <c r="U112" s="11">
        <f t="shared" si="53"/>
        <v>112897.95918367348</v>
      </c>
      <c r="V112" s="12">
        <f t="shared" si="54"/>
        <v>0.12500000000000003</v>
      </c>
      <c r="W112" s="11">
        <f t="shared" si="55"/>
        <v>112900</v>
      </c>
      <c r="X112" s="26">
        <f t="shared" si="56"/>
        <v>0.30000000000000004</v>
      </c>
      <c r="Y112" s="36">
        <v>91700</v>
      </c>
      <c r="Z112" s="29">
        <f>T112-Y112</f>
        <v>7085.7142857142899</v>
      </c>
      <c r="AA112" s="30">
        <f>Z112/Y112</f>
        <v>7.7270602897647658E-2</v>
      </c>
    </row>
    <row r="113" spans="1:27" ht="14.4" customHeight="1">
      <c r="A113" s="75"/>
      <c r="B113" s="46"/>
      <c r="C113" s="56" t="s">
        <v>275</v>
      </c>
      <c r="D113" s="48" t="str">
        <f t="shared" si="26"/>
        <v xml:space="preserve"> 822</v>
      </c>
      <c r="E113" s="57" t="s">
        <v>275</v>
      </c>
      <c r="F113" s="50">
        <f t="shared" si="27"/>
        <v>0</v>
      </c>
      <c r="G113" s="51" t="s">
        <v>300</v>
      </c>
      <c r="H113" s="51" t="s">
        <v>308</v>
      </c>
      <c r="I113" s="51" t="s">
        <v>368</v>
      </c>
      <c r="J113" s="62">
        <f>M113</f>
        <v>110000</v>
      </c>
      <c r="K113" s="61">
        <f>J113-M113</f>
        <v>0</v>
      </c>
      <c r="L113" s="63" t="s">
        <v>23</v>
      </c>
      <c r="M113" s="67">
        <v>110000</v>
      </c>
      <c r="N113" s="65">
        <f>2000+200+350+600+3000</f>
        <v>6150</v>
      </c>
      <c r="O113" s="55">
        <f t="shared" si="50"/>
        <v>116150</v>
      </c>
      <c r="P113" s="43"/>
      <c r="Q113" s="41" t="s">
        <v>462</v>
      </c>
      <c r="R113" s="10"/>
      <c r="S113" s="10">
        <f t="shared" si="51"/>
        <v>116150</v>
      </c>
      <c r="T113" s="10">
        <f t="shared" si="52"/>
        <v>165928.57142857145</v>
      </c>
      <c r="U113" s="11">
        <f t="shared" si="53"/>
        <v>189632.65306122453</v>
      </c>
      <c r="V113" s="12">
        <f t="shared" si="54"/>
        <v>0.12500000000000006</v>
      </c>
      <c r="W113" s="11">
        <f t="shared" si="55"/>
        <v>189700</v>
      </c>
      <c r="X113" s="26">
        <f t="shared" si="56"/>
        <v>0.3000000000000001</v>
      </c>
      <c r="Y113" s="13"/>
      <c r="Z113" s="13"/>
      <c r="AA113" s="14"/>
    </row>
    <row r="114" spans="1:27" ht="14.4" customHeight="1">
      <c r="A114" s="75"/>
      <c r="B114" s="46"/>
      <c r="C114" s="56" t="s">
        <v>276</v>
      </c>
      <c r="D114" s="48" t="str">
        <f t="shared" si="26"/>
        <v xml:space="preserve"> 504</v>
      </c>
      <c r="E114" s="57" t="s">
        <v>276</v>
      </c>
      <c r="F114" s="50">
        <f t="shared" si="27"/>
        <v>0</v>
      </c>
      <c r="G114" s="51" t="s">
        <v>300</v>
      </c>
      <c r="H114" s="51" t="s">
        <v>313</v>
      </c>
      <c r="I114" s="51" t="s">
        <v>368</v>
      </c>
      <c r="J114" s="62">
        <f>M114</f>
        <v>110000</v>
      </c>
      <c r="K114" s="61">
        <f>J114-M114</f>
        <v>0</v>
      </c>
      <c r="L114" s="63" t="s">
        <v>23</v>
      </c>
      <c r="M114" s="67">
        <v>110000</v>
      </c>
      <c r="N114" s="65">
        <f>2000+200+350+600+3600</f>
        <v>6750</v>
      </c>
      <c r="O114" s="55">
        <f t="shared" si="50"/>
        <v>116750</v>
      </c>
      <c r="P114" s="44"/>
      <c r="Q114" s="41" t="s">
        <v>463</v>
      </c>
      <c r="R114" s="10"/>
      <c r="S114" s="10">
        <f t="shared" si="51"/>
        <v>116750</v>
      </c>
      <c r="T114" s="10">
        <f t="shared" si="52"/>
        <v>166785.71428571429</v>
      </c>
      <c r="U114" s="11">
        <f t="shared" si="53"/>
        <v>190612.2448979592</v>
      </c>
      <c r="V114" s="12">
        <f t="shared" si="54"/>
        <v>0.12500000000000006</v>
      </c>
      <c r="W114" s="11">
        <f t="shared" si="55"/>
        <v>190700</v>
      </c>
      <c r="X114" s="26">
        <f t="shared" si="56"/>
        <v>0.30000000000000004</v>
      </c>
      <c r="Y114" s="13"/>
      <c r="Z114" s="13"/>
      <c r="AA114" s="14"/>
    </row>
    <row r="115" spans="1:27" ht="14.4" customHeight="1">
      <c r="A115" s="75"/>
      <c r="B115" s="46"/>
      <c r="C115" s="56" t="s">
        <v>93</v>
      </c>
      <c r="D115" s="48" t="str">
        <f t="shared" si="26"/>
        <v xml:space="preserve"> 205</v>
      </c>
      <c r="E115" s="58" t="s">
        <v>93</v>
      </c>
      <c r="F115" s="50">
        <f t="shared" si="27"/>
        <v>0</v>
      </c>
      <c r="G115" s="51" t="s">
        <v>21</v>
      </c>
      <c r="H115" s="51" t="s">
        <v>49</v>
      </c>
      <c r="I115" s="51" t="s">
        <v>368</v>
      </c>
      <c r="J115" s="62">
        <f>M115</f>
        <v>90000</v>
      </c>
      <c r="K115" s="61">
        <f>J115-M115</f>
        <v>0</v>
      </c>
      <c r="L115" s="63" t="s">
        <v>23</v>
      </c>
      <c r="M115" s="67">
        <v>90000</v>
      </c>
      <c r="N115" s="65">
        <f>2000+200+350+600+3600</f>
        <v>6750</v>
      </c>
      <c r="O115" s="55">
        <f t="shared" si="50"/>
        <v>96750</v>
      </c>
      <c r="P115" s="43"/>
      <c r="Q115" s="41" t="s">
        <v>463</v>
      </c>
      <c r="R115" s="10"/>
      <c r="S115" s="10">
        <f t="shared" si="51"/>
        <v>96750</v>
      </c>
      <c r="T115" s="10">
        <f t="shared" si="52"/>
        <v>138214.28571428571</v>
      </c>
      <c r="U115" s="11">
        <f t="shared" si="53"/>
        <v>157959.18367346938</v>
      </c>
      <c r="V115" s="12">
        <f t="shared" si="54"/>
        <v>0.12499999999999997</v>
      </c>
      <c r="W115" s="11">
        <f t="shared" si="55"/>
        <v>158000</v>
      </c>
      <c r="X115" s="26">
        <f t="shared" si="56"/>
        <v>0.3</v>
      </c>
      <c r="Y115" s="36">
        <v>133263</v>
      </c>
      <c r="Z115" s="29">
        <f>T115-Y115</f>
        <v>4951.2857142857101</v>
      </c>
      <c r="AA115" s="30">
        <f>Z115/Y115</f>
        <v>3.7154241719649941E-2</v>
      </c>
    </row>
    <row r="116" spans="1:27" ht="14.4" customHeight="1">
      <c r="A116" s="75"/>
      <c r="B116" s="46"/>
      <c r="C116" s="56" t="s">
        <v>73</v>
      </c>
      <c r="D116" s="48" t="str">
        <f t="shared" si="26"/>
        <v xml:space="preserve"> 229</v>
      </c>
      <c r="E116" s="58" t="s">
        <v>73</v>
      </c>
      <c r="F116" s="50">
        <f t="shared" si="27"/>
        <v>0</v>
      </c>
      <c r="G116" s="51" t="s">
        <v>21</v>
      </c>
      <c r="H116" s="51" t="s">
        <v>479</v>
      </c>
      <c r="I116" s="51" t="s">
        <v>368</v>
      </c>
      <c r="J116" s="52"/>
      <c r="K116" s="61"/>
      <c r="L116" s="50"/>
      <c r="M116" s="65"/>
      <c r="N116" s="65"/>
      <c r="O116" s="55"/>
      <c r="P116" s="43"/>
      <c r="Q116" s="41"/>
      <c r="R116" s="10"/>
      <c r="S116" s="10"/>
      <c r="T116" s="10"/>
      <c r="U116" s="11"/>
      <c r="V116" s="12"/>
      <c r="W116" s="11"/>
      <c r="X116" s="26"/>
      <c r="Y116" s="36">
        <v>0</v>
      </c>
      <c r="Z116" s="29">
        <f>T116-Y116</f>
        <v>0</v>
      </c>
      <c r="AA116" s="30" t="e">
        <f>Z116/Y116</f>
        <v>#DIV/0!</v>
      </c>
    </row>
    <row r="117" spans="1:27" ht="14.4" customHeight="1">
      <c r="A117" s="75"/>
      <c r="B117" s="46"/>
      <c r="C117" s="56" t="s">
        <v>50</v>
      </c>
      <c r="D117" s="48" t="str">
        <f t="shared" si="26"/>
        <v xml:space="preserve"> 679</v>
      </c>
      <c r="E117" s="58" t="s">
        <v>50</v>
      </c>
      <c r="F117" s="50">
        <f t="shared" si="27"/>
        <v>0</v>
      </c>
      <c r="G117" s="51" t="s">
        <v>21</v>
      </c>
      <c r="H117" s="51" t="s">
        <v>480</v>
      </c>
      <c r="I117" s="51" t="s">
        <v>368</v>
      </c>
      <c r="J117" s="52"/>
      <c r="K117" s="61"/>
      <c r="L117" s="50"/>
      <c r="M117" s="65"/>
      <c r="N117" s="65"/>
      <c r="O117" s="55"/>
      <c r="P117" s="43"/>
      <c r="Q117" s="41"/>
      <c r="R117" s="10"/>
      <c r="S117" s="10"/>
      <c r="T117" s="10"/>
      <c r="U117" s="11"/>
      <c r="V117" s="12"/>
      <c r="W117" s="11"/>
      <c r="X117" s="26"/>
      <c r="Y117" s="36">
        <v>0</v>
      </c>
      <c r="Z117" s="29">
        <f>T117-Y117</f>
        <v>0</v>
      </c>
      <c r="AA117" s="30" t="e">
        <f>Z117/Y117</f>
        <v>#DIV/0!</v>
      </c>
    </row>
    <row r="118" spans="1:27" ht="14.4" customHeight="1">
      <c r="A118" s="75"/>
      <c r="B118" s="46"/>
      <c r="C118" s="56" t="s">
        <v>282</v>
      </c>
      <c r="D118" s="48" t="str">
        <f t="shared" si="26"/>
        <v xml:space="preserve"> 641</v>
      </c>
      <c r="E118" s="57" t="s">
        <v>282</v>
      </c>
      <c r="F118" s="50">
        <f t="shared" si="27"/>
        <v>0</v>
      </c>
      <c r="G118" s="51" t="s">
        <v>300</v>
      </c>
      <c r="H118" s="51" t="s">
        <v>326</v>
      </c>
      <c r="I118" s="51" t="s">
        <v>370</v>
      </c>
      <c r="J118" s="62">
        <f t="shared" ref="J118:J126" si="57">M118</f>
        <v>70000</v>
      </c>
      <c r="K118" s="61">
        <f t="shared" ref="K118:K158" si="58">J118-M118</f>
        <v>0</v>
      </c>
      <c r="L118" s="63" t="s">
        <v>23</v>
      </c>
      <c r="M118" s="67">
        <v>70000</v>
      </c>
      <c r="N118" s="65">
        <f>2000+200+250+600+1000+3600+450</f>
        <v>8100</v>
      </c>
      <c r="O118" s="55">
        <f t="shared" ref="O118:O142" si="59">M118+N118</f>
        <v>78100</v>
      </c>
      <c r="P118" s="43"/>
      <c r="Q118" s="41" t="s">
        <v>465</v>
      </c>
      <c r="R118" s="10"/>
      <c r="S118" s="10">
        <f t="shared" ref="S118:S142" si="60">R118+O118</f>
        <v>78100</v>
      </c>
      <c r="T118" s="10">
        <f t="shared" ref="T118:T142" si="61">S118/0.7</f>
        <v>111571.42857142858</v>
      </c>
      <c r="U118" s="11">
        <f t="shared" ref="U118:U142" si="62">T118/0.875</f>
        <v>127510.20408163266</v>
      </c>
      <c r="V118" s="12">
        <f t="shared" ref="V118:V142" si="63">(U118-T118)/U118</f>
        <v>0.125</v>
      </c>
      <c r="W118" s="11">
        <f t="shared" ref="W118:W142" si="64">(ROUNDUP((U118/100),0))*100</f>
        <v>127600</v>
      </c>
      <c r="X118" s="26">
        <f t="shared" ref="X118:X142" si="65">(T118-O118)/T118</f>
        <v>0.30000000000000004</v>
      </c>
      <c r="Y118" s="13"/>
      <c r="Z118" s="13"/>
      <c r="AA118" s="14"/>
    </row>
    <row r="119" spans="1:27" ht="14.4" customHeight="1">
      <c r="A119" s="75"/>
      <c r="B119" s="46"/>
      <c r="C119" s="56" t="s">
        <v>283</v>
      </c>
      <c r="D119" s="48" t="str">
        <f t="shared" si="26"/>
        <v xml:space="preserve"> 680</v>
      </c>
      <c r="E119" s="57" t="s">
        <v>283</v>
      </c>
      <c r="F119" s="50">
        <f t="shared" si="27"/>
        <v>0</v>
      </c>
      <c r="G119" s="51" t="s">
        <v>300</v>
      </c>
      <c r="H119" s="51" t="s">
        <v>326</v>
      </c>
      <c r="I119" s="51" t="s">
        <v>370</v>
      </c>
      <c r="J119" s="62">
        <f t="shared" si="57"/>
        <v>67500</v>
      </c>
      <c r="K119" s="61">
        <f t="shared" si="58"/>
        <v>0</v>
      </c>
      <c r="L119" s="63" t="s">
        <v>23</v>
      </c>
      <c r="M119" s="67">
        <v>67500</v>
      </c>
      <c r="N119" s="65">
        <f>2000+200+250+600+1000+3600+450</f>
        <v>8100</v>
      </c>
      <c r="O119" s="55">
        <f t="shared" si="59"/>
        <v>75600</v>
      </c>
      <c r="P119" s="43"/>
      <c r="Q119" s="41" t="s">
        <v>465</v>
      </c>
      <c r="R119" s="10"/>
      <c r="S119" s="10">
        <f t="shared" si="60"/>
        <v>75600</v>
      </c>
      <c r="T119" s="10">
        <f t="shared" si="61"/>
        <v>108000</v>
      </c>
      <c r="U119" s="11">
        <f t="shared" si="62"/>
        <v>123428.57142857143</v>
      </c>
      <c r="V119" s="12">
        <f t="shared" si="63"/>
        <v>0.12500000000000006</v>
      </c>
      <c r="W119" s="11">
        <f t="shared" si="64"/>
        <v>123500</v>
      </c>
      <c r="X119" s="26">
        <f t="shared" si="65"/>
        <v>0.3</v>
      </c>
      <c r="Y119" s="13"/>
      <c r="Z119" s="13"/>
      <c r="AA119" s="13"/>
    </row>
    <row r="120" spans="1:27" ht="14.4" customHeight="1">
      <c r="A120" s="75"/>
      <c r="B120" s="46"/>
      <c r="C120" s="56" t="s">
        <v>284</v>
      </c>
      <c r="D120" s="48" t="str">
        <f t="shared" si="26"/>
        <v xml:space="preserve"> 179</v>
      </c>
      <c r="E120" s="57" t="s">
        <v>284</v>
      </c>
      <c r="F120" s="50">
        <f t="shared" si="27"/>
        <v>0</v>
      </c>
      <c r="G120" s="51" t="s">
        <v>300</v>
      </c>
      <c r="H120" s="51" t="s">
        <v>326</v>
      </c>
      <c r="I120" s="51" t="s">
        <v>370</v>
      </c>
      <c r="J120" s="62">
        <f t="shared" si="57"/>
        <v>64000</v>
      </c>
      <c r="K120" s="61">
        <f t="shared" si="58"/>
        <v>0</v>
      </c>
      <c r="L120" s="63" t="s">
        <v>23</v>
      </c>
      <c r="M120" s="67">
        <v>64000</v>
      </c>
      <c r="N120" s="65">
        <f>2000+200+250+600+1000+3600+450</f>
        <v>8100</v>
      </c>
      <c r="O120" s="55">
        <f t="shared" si="59"/>
        <v>72100</v>
      </c>
      <c r="P120" s="43"/>
      <c r="Q120" s="41" t="s">
        <v>465</v>
      </c>
      <c r="R120" s="10"/>
      <c r="S120" s="10">
        <f t="shared" si="60"/>
        <v>72100</v>
      </c>
      <c r="T120" s="10">
        <f t="shared" si="61"/>
        <v>103000</v>
      </c>
      <c r="U120" s="11">
        <f t="shared" si="62"/>
        <v>117714.28571428571</v>
      </c>
      <c r="V120" s="12">
        <f t="shared" si="63"/>
        <v>0.12499999999999997</v>
      </c>
      <c r="W120" s="11">
        <f t="shared" si="64"/>
        <v>117800</v>
      </c>
      <c r="X120" s="26">
        <f t="shared" si="65"/>
        <v>0.3</v>
      </c>
      <c r="Y120" s="13"/>
      <c r="Z120" s="13"/>
      <c r="AA120" s="14"/>
    </row>
    <row r="121" spans="1:27" ht="14.4" customHeight="1">
      <c r="A121" s="75"/>
      <c r="B121" s="46"/>
      <c r="C121" s="56" t="s">
        <v>66</v>
      </c>
      <c r="D121" s="48" t="str">
        <f t="shared" si="26"/>
        <v xml:space="preserve"> 014</v>
      </c>
      <c r="E121" s="57" t="s">
        <v>66</v>
      </c>
      <c r="F121" s="50">
        <f t="shared" si="27"/>
        <v>0</v>
      </c>
      <c r="G121" s="51" t="s">
        <v>21</v>
      </c>
      <c r="H121" s="51" t="s">
        <v>319</v>
      </c>
      <c r="I121" s="51" t="s">
        <v>370</v>
      </c>
      <c r="J121" s="62">
        <f t="shared" si="57"/>
        <v>96000</v>
      </c>
      <c r="K121" s="61">
        <f t="shared" si="58"/>
        <v>0</v>
      </c>
      <c r="L121" s="63" t="s">
        <v>23</v>
      </c>
      <c r="M121" s="67">
        <v>96000</v>
      </c>
      <c r="N121" s="65">
        <v>3050</v>
      </c>
      <c r="O121" s="55">
        <f t="shared" si="59"/>
        <v>99050</v>
      </c>
      <c r="P121" s="43"/>
      <c r="Q121" s="41" t="s">
        <v>466</v>
      </c>
      <c r="R121" s="10"/>
      <c r="S121" s="10">
        <f t="shared" si="60"/>
        <v>99050</v>
      </c>
      <c r="T121" s="10">
        <f t="shared" si="61"/>
        <v>141500</v>
      </c>
      <c r="U121" s="11">
        <f t="shared" si="62"/>
        <v>161714.28571428571</v>
      </c>
      <c r="V121" s="12">
        <f t="shared" si="63"/>
        <v>0.12499999999999997</v>
      </c>
      <c r="W121" s="11">
        <f t="shared" si="64"/>
        <v>161800</v>
      </c>
      <c r="X121" s="26">
        <f t="shared" si="65"/>
        <v>0.3</v>
      </c>
      <c r="Y121" s="36">
        <v>141838</v>
      </c>
      <c r="Z121" s="29">
        <f>T121-Y121</f>
        <v>-338</v>
      </c>
      <c r="AA121" s="30">
        <f>Z121/Y121</f>
        <v>-2.3830003243136538E-3</v>
      </c>
    </row>
    <row r="122" spans="1:27" ht="14.4" customHeight="1">
      <c r="A122" s="75"/>
      <c r="B122" s="46"/>
      <c r="C122" s="56" t="s">
        <v>137</v>
      </c>
      <c r="D122" s="48" t="str">
        <f t="shared" si="26"/>
        <v xml:space="preserve"> 493</v>
      </c>
      <c r="E122" s="57" t="s">
        <v>137</v>
      </c>
      <c r="F122" s="50">
        <f t="shared" si="27"/>
        <v>0</v>
      </c>
      <c r="G122" s="51" t="s">
        <v>300</v>
      </c>
      <c r="H122" s="51" t="s">
        <v>309</v>
      </c>
      <c r="I122" s="51" t="s">
        <v>334</v>
      </c>
      <c r="J122" s="62">
        <f t="shared" si="57"/>
        <v>55000</v>
      </c>
      <c r="K122" s="61">
        <f t="shared" si="58"/>
        <v>0</v>
      </c>
      <c r="L122" s="63" t="s">
        <v>23</v>
      </c>
      <c r="M122" s="64">
        <v>55000</v>
      </c>
      <c r="N122" s="54">
        <f>2000+200+250+600+3600</f>
        <v>6650</v>
      </c>
      <c r="O122" s="55">
        <f t="shared" si="59"/>
        <v>61650</v>
      </c>
      <c r="P122" s="43"/>
      <c r="Q122" s="41" t="s">
        <v>382</v>
      </c>
      <c r="R122" s="10"/>
      <c r="S122" s="10">
        <f t="shared" si="60"/>
        <v>61650</v>
      </c>
      <c r="T122" s="10">
        <f t="shared" si="61"/>
        <v>88071.42857142858</v>
      </c>
      <c r="U122" s="11">
        <f t="shared" si="62"/>
        <v>100653.06122448981</v>
      </c>
      <c r="V122" s="12">
        <f t="shared" si="63"/>
        <v>0.12500000000000003</v>
      </c>
      <c r="W122" s="11">
        <f t="shared" si="64"/>
        <v>100700</v>
      </c>
      <c r="X122" s="26">
        <f t="shared" si="65"/>
        <v>0.30000000000000004</v>
      </c>
      <c r="Y122" s="13"/>
      <c r="Z122" s="13"/>
      <c r="AA122" s="14"/>
    </row>
    <row r="123" spans="1:27" ht="14.4" customHeight="1">
      <c r="A123" s="75"/>
      <c r="B123" s="46"/>
      <c r="C123" s="56" t="s">
        <v>138</v>
      </c>
      <c r="D123" s="48" t="str">
        <f t="shared" si="26"/>
        <v xml:space="preserve"> 688</v>
      </c>
      <c r="E123" s="57" t="s">
        <v>138</v>
      </c>
      <c r="F123" s="50">
        <f t="shared" si="27"/>
        <v>0</v>
      </c>
      <c r="G123" s="51" t="s">
        <v>300</v>
      </c>
      <c r="H123" s="51" t="s">
        <v>51</v>
      </c>
      <c r="I123" s="51" t="s">
        <v>334</v>
      </c>
      <c r="J123" s="62">
        <f t="shared" si="57"/>
        <v>65000</v>
      </c>
      <c r="K123" s="61">
        <f t="shared" si="58"/>
        <v>0</v>
      </c>
      <c r="L123" s="63" t="s">
        <v>23</v>
      </c>
      <c r="M123" s="64">
        <v>65000</v>
      </c>
      <c r="N123" s="54">
        <f>2000+300+600+1000+3000</f>
        <v>6900</v>
      </c>
      <c r="O123" s="55">
        <f t="shared" si="59"/>
        <v>71900</v>
      </c>
      <c r="P123" s="43"/>
      <c r="Q123" s="41" t="s">
        <v>383</v>
      </c>
      <c r="R123" s="10"/>
      <c r="S123" s="10">
        <f t="shared" si="60"/>
        <v>71900</v>
      </c>
      <c r="T123" s="10">
        <f t="shared" si="61"/>
        <v>102714.28571428572</v>
      </c>
      <c r="U123" s="11">
        <f t="shared" si="62"/>
        <v>117387.75510204083</v>
      </c>
      <c r="V123" s="12">
        <f t="shared" si="63"/>
        <v>0.125</v>
      </c>
      <c r="W123" s="11">
        <f t="shared" si="64"/>
        <v>117400</v>
      </c>
      <c r="X123" s="26">
        <f t="shared" si="65"/>
        <v>0.30000000000000004</v>
      </c>
      <c r="Y123" s="13"/>
      <c r="Z123" s="13"/>
      <c r="AA123" s="13"/>
    </row>
    <row r="124" spans="1:27" ht="14.4" customHeight="1">
      <c r="A124" s="75"/>
      <c r="B124" s="46"/>
      <c r="C124" s="56" t="s">
        <v>139</v>
      </c>
      <c r="D124" s="48" t="str">
        <f t="shared" si="26"/>
        <v xml:space="preserve"> 590</v>
      </c>
      <c r="E124" s="57" t="s">
        <v>139</v>
      </c>
      <c r="F124" s="50">
        <f t="shared" si="27"/>
        <v>0</v>
      </c>
      <c r="G124" s="51" t="s">
        <v>300</v>
      </c>
      <c r="H124" s="51" t="s">
        <v>51</v>
      </c>
      <c r="I124" s="51" t="s">
        <v>334</v>
      </c>
      <c r="J124" s="62">
        <f t="shared" si="57"/>
        <v>66000</v>
      </c>
      <c r="K124" s="61">
        <f t="shared" si="58"/>
        <v>0</v>
      </c>
      <c r="L124" s="63" t="s">
        <v>23</v>
      </c>
      <c r="M124" s="64">
        <v>66000</v>
      </c>
      <c r="N124" s="54">
        <f>2000+300+600+3000</f>
        <v>5900</v>
      </c>
      <c r="O124" s="55">
        <f t="shared" si="59"/>
        <v>71900</v>
      </c>
      <c r="P124" s="43"/>
      <c r="Q124" s="41" t="s">
        <v>384</v>
      </c>
      <c r="R124" s="10"/>
      <c r="S124" s="10">
        <f t="shared" si="60"/>
        <v>71900</v>
      </c>
      <c r="T124" s="10">
        <f t="shared" si="61"/>
        <v>102714.28571428572</v>
      </c>
      <c r="U124" s="11">
        <f t="shared" si="62"/>
        <v>117387.75510204083</v>
      </c>
      <c r="V124" s="12">
        <f t="shared" si="63"/>
        <v>0.125</v>
      </c>
      <c r="W124" s="11">
        <f t="shared" si="64"/>
        <v>117400</v>
      </c>
      <c r="X124" s="26">
        <f t="shared" si="65"/>
        <v>0.30000000000000004</v>
      </c>
      <c r="Y124" s="13"/>
      <c r="Z124" s="13"/>
      <c r="AA124" s="14"/>
    </row>
    <row r="125" spans="1:27" ht="14.4" customHeight="1">
      <c r="A125" s="75"/>
      <c r="B125" s="46"/>
      <c r="C125" s="56" t="s">
        <v>105</v>
      </c>
      <c r="D125" s="48" t="str">
        <f t="shared" si="26"/>
        <v xml:space="preserve"> 184</v>
      </c>
      <c r="E125" s="57" t="s">
        <v>105</v>
      </c>
      <c r="F125" s="50">
        <f t="shared" si="27"/>
        <v>0</v>
      </c>
      <c r="G125" s="51" t="s">
        <v>21</v>
      </c>
      <c r="H125" s="51" t="s">
        <v>310</v>
      </c>
      <c r="I125" s="51" t="s">
        <v>334</v>
      </c>
      <c r="J125" s="62">
        <f t="shared" si="57"/>
        <v>68000</v>
      </c>
      <c r="K125" s="53">
        <f t="shared" si="58"/>
        <v>0</v>
      </c>
      <c r="L125" s="63" t="s">
        <v>23</v>
      </c>
      <c r="M125" s="64">
        <v>68000</v>
      </c>
      <c r="N125" s="54">
        <f>2000+300+600+1000+3600</f>
        <v>7500</v>
      </c>
      <c r="O125" s="55">
        <f t="shared" si="59"/>
        <v>75500</v>
      </c>
      <c r="P125" s="42"/>
      <c r="Q125" s="41" t="s">
        <v>385</v>
      </c>
      <c r="R125" s="10"/>
      <c r="S125" s="10">
        <f t="shared" si="60"/>
        <v>75500</v>
      </c>
      <c r="T125" s="10">
        <f t="shared" si="61"/>
        <v>107857.14285714287</v>
      </c>
      <c r="U125" s="11">
        <f t="shared" si="62"/>
        <v>123265.30612244899</v>
      </c>
      <c r="V125" s="12">
        <f t="shared" si="63"/>
        <v>0.125</v>
      </c>
      <c r="W125" s="11">
        <f t="shared" si="64"/>
        <v>123300</v>
      </c>
      <c r="X125" s="26">
        <f t="shared" si="65"/>
        <v>0.3000000000000001</v>
      </c>
      <c r="Y125" s="36">
        <v>104388</v>
      </c>
      <c r="Z125" s="29">
        <f>T125-Y125</f>
        <v>3469.1428571428696</v>
      </c>
      <c r="AA125" s="30">
        <f>Z125/Y125</f>
        <v>3.3233157615270618E-2</v>
      </c>
    </row>
    <row r="126" spans="1:27" ht="14.4" customHeight="1">
      <c r="A126" s="75"/>
      <c r="B126" s="46"/>
      <c r="C126" s="56" t="s">
        <v>69</v>
      </c>
      <c r="D126" s="48" t="str">
        <f t="shared" si="26"/>
        <v xml:space="preserve"> 973</v>
      </c>
      <c r="E126" s="57" t="s">
        <v>69</v>
      </c>
      <c r="F126" s="50">
        <f t="shared" si="27"/>
        <v>0</v>
      </c>
      <c r="G126" s="51" t="s">
        <v>21</v>
      </c>
      <c r="H126" s="51" t="s">
        <v>309</v>
      </c>
      <c r="I126" s="51" t="s">
        <v>334</v>
      </c>
      <c r="J126" s="62">
        <f t="shared" si="57"/>
        <v>58000</v>
      </c>
      <c r="K126" s="61">
        <f t="shared" si="58"/>
        <v>0</v>
      </c>
      <c r="L126" s="63" t="s">
        <v>23</v>
      </c>
      <c r="M126" s="64">
        <v>58000</v>
      </c>
      <c r="N126" s="54">
        <f>2000+200+250+600+3600</f>
        <v>6650</v>
      </c>
      <c r="O126" s="55">
        <f t="shared" si="59"/>
        <v>64650</v>
      </c>
      <c r="P126" s="44"/>
      <c r="Q126" s="41" t="s">
        <v>386</v>
      </c>
      <c r="R126" s="10"/>
      <c r="S126" s="10">
        <f t="shared" si="60"/>
        <v>64650</v>
      </c>
      <c r="T126" s="10">
        <f t="shared" si="61"/>
        <v>92357.14285714287</v>
      </c>
      <c r="U126" s="11">
        <f t="shared" si="62"/>
        <v>105551.02040816328</v>
      </c>
      <c r="V126" s="12">
        <f t="shared" si="63"/>
        <v>0.12500000000000003</v>
      </c>
      <c r="W126" s="11">
        <f t="shared" si="64"/>
        <v>105600</v>
      </c>
      <c r="X126" s="26">
        <f t="shared" si="65"/>
        <v>0.3000000000000001</v>
      </c>
      <c r="Y126" s="36">
        <v>88200</v>
      </c>
      <c r="Z126" s="29">
        <f>T126-Y126</f>
        <v>4157.1428571428696</v>
      </c>
      <c r="AA126" s="30">
        <f>Z126/Y126</f>
        <v>4.7133138969873804E-2</v>
      </c>
    </row>
    <row r="127" spans="1:27" ht="14.4" customHeight="1">
      <c r="A127" s="75"/>
      <c r="B127" s="46"/>
      <c r="C127" s="56" t="s">
        <v>264</v>
      </c>
      <c r="D127" s="48" t="str">
        <f t="shared" si="26"/>
        <v xml:space="preserve"> 193</v>
      </c>
      <c r="E127" s="57" t="s">
        <v>264</v>
      </c>
      <c r="F127" s="50">
        <f t="shared" si="27"/>
        <v>0</v>
      </c>
      <c r="G127" s="51" t="s">
        <v>300</v>
      </c>
      <c r="H127" s="51" t="s">
        <v>51</v>
      </c>
      <c r="I127" s="51" t="s">
        <v>366</v>
      </c>
      <c r="J127" s="52">
        <v>87000</v>
      </c>
      <c r="K127" s="61">
        <f t="shared" si="58"/>
        <v>6900</v>
      </c>
      <c r="L127" s="50" t="s">
        <v>24</v>
      </c>
      <c r="M127" s="54">
        <f t="shared" ref="M127:M147" si="66">J127-N127</f>
        <v>80100</v>
      </c>
      <c r="N127" s="65">
        <v>6900</v>
      </c>
      <c r="O127" s="55">
        <f t="shared" si="59"/>
        <v>87000</v>
      </c>
      <c r="P127" s="43"/>
      <c r="Q127" s="41" t="s">
        <v>451</v>
      </c>
      <c r="R127" s="10"/>
      <c r="S127" s="10">
        <f t="shared" si="60"/>
        <v>87000</v>
      </c>
      <c r="T127" s="10">
        <f t="shared" si="61"/>
        <v>124285.71428571429</v>
      </c>
      <c r="U127" s="11">
        <f t="shared" si="62"/>
        <v>142040.81632653062</v>
      </c>
      <c r="V127" s="12">
        <f t="shared" si="63"/>
        <v>0.12500000000000003</v>
      </c>
      <c r="W127" s="11">
        <f t="shared" si="64"/>
        <v>142100</v>
      </c>
      <c r="X127" s="26">
        <f t="shared" si="65"/>
        <v>0.30000000000000004</v>
      </c>
      <c r="Y127" s="13"/>
      <c r="Z127" s="13"/>
      <c r="AA127" s="14"/>
    </row>
    <row r="128" spans="1:27" ht="14.4" customHeight="1">
      <c r="A128" s="75"/>
      <c r="B128" s="46"/>
      <c r="C128" s="56" t="s">
        <v>265</v>
      </c>
      <c r="D128" s="48" t="str">
        <f t="shared" si="26"/>
        <v xml:space="preserve"> 739</v>
      </c>
      <c r="E128" s="57" t="s">
        <v>265</v>
      </c>
      <c r="F128" s="50">
        <f t="shared" si="27"/>
        <v>0</v>
      </c>
      <c r="G128" s="51" t="s">
        <v>300</v>
      </c>
      <c r="H128" s="51" t="s">
        <v>51</v>
      </c>
      <c r="I128" s="51" t="s">
        <v>366</v>
      </c>
      <c r="J128" s="52">
        <v>81000</v>
      </c>
      <c r="K128" s="61">
        <f t="shared" si="58"/>
        <v>6900</v>
      </c>
      <c r="L128" s="50" t="s">
        <v>24</v>
      </c>
      <c r="M128" s="54">
        <f t="shared" si="66"/>
        <v>74100</v>
      </c>
      <c r="N128" s="65">
        <f>2000+300+600+1000+3000</f>
        <v>6900</v>
      </c>
      <c r="O128" s="55">
        <f t="shared" si="59"/>
        <v>81000</v>
      </c>
      <c r="P128" s="43"/>
      <c r="Q128" s="41" t="s">
        <v>451</v>
      </c>
      <c r="R128" s="10"/>
      <c r="S128" s="10">
        <f t="shared" si="60"/>
        <v>81000</v>
      </c>
      <c r="T128" s="10">
        <f t="shared" si="61"/>
        <v>115714.28571428572</v>
      </c>
      <c r="U128" s="11">
        <f t="shared" si="62"/>
        <v>132244.8979591837</v>
      </c>
      <c r="V128" s="12">
        <f t="shared" si="63"/>
        <v>0.12500000000000008</v>
      </c>
      <c r="W128" s="11">
        <f t="shared" si="64"/>
        <v>132300</v>
      </c>
      <c r="X128" s="26">
        <f t="shared" si="65"/>
        <v>0.30000000000000004</v>
      </c>
      <c r="Y128" s="13"/>
      <c r="Z128" s="13"/>
      <c r="AA128" s="13"/>
    </row>
    <row r="129" spans="1:27" ht="14.4" customHeight="1">
      <c r="A129" s="75"/>
      <c r="B129" s="46"/>
      <c r="C129" s="56" t="s">
        <v>266</v>
      </c>
      <c r="D129" s="48" t="str">
        <f t="shared" si="26"/>
        <v xml:space="preserve"> 480</v>
      </c>
      <c r="E129" s="57" t="s">
        <v>266</v>
      </c>
      <c r="F129" s="50">
        <f t="shared" si="27"/>
        <v>0</v>
      </c>
      <c r="G129" s="51" t="s">
        <v>300</v>
      </c>
      <c r="H129" s="51" t="s">
        <v>310</v>
      </c>
      <c r="I129" s="51" t="s">
        <v>366</v>
      </c>
      <c r="J129" s="52">
        <v>81000</v>
      </c>
      <c r="K129" s="61">
        <f t="shared" si="58"/>
        <v>7500</v>
      </c>
      <c r="L129" s="50" t="s">
        <v>24</v>
      </c>
      <c r="M129" s="54">
        <f t="shared" si="66"/>
        <v>73500</v>
      </c>
      <c r="N129" s="65">
        <f>2000+300+600+1000+3600</f>
        <v>7500</v>
      </c>
      <c r="O129" s="55">
        <f t="shared" si="59"/>
        <v>81000</v>
      </c>
      <c r="P129" s="43"/>
      <c r="Q129" s="41" t="s">
        <v>454</v>
      </c>
      <c r="R129" s="10"/>
      <c r="S129" s="10">
        <f t="shared" si="60"/>
        <v>81000</v>
      </c>
      <c r="T129" s="10">
        <f t="shared" si="61"/>
        <v>115714.28571428572</v>
      </c>
      <c r="U129" s="11">
        <f t="shared" si="62"/>
        <v>132244.8979591837</v>
      </c>
      <c r="V129" s="12">
        <f t="shared" si="63"/>
        <v>0.12500000000000008</v>
      </c>
      <c r="W129" s="11">
        <f t="shared" si="64"/>
        <v>132300</v>
      </c>
      <c r="X129" s="26">
        <f t="shared" si="65"/>
        <v>0.30000000000000004</v>
      </c>
      <c r="Y129" s="13"/>
      <c r="Z129" s="13"/>
      <c r="AA129" s="13"/>
    </row>
    <row r="130" spans="1:27" ht="14.4" customHeight="1">
      <c r="A130" s="75"/>
      <c r="B130" s="46"/>
      <c r="C130" s="56" t="s">
        <v>267</v>
      </c>
      <c r="D130" s="48" t="str">
        <f t="shared" si="26"/>
        <v xml:space="preserve"> 288</v>
      </c>
      <c r="E130" s="57" t="s">
        <v>267</v>
      </c>
      <c r="F130" s="50">
        <f t="shared" si="27"/>
        <v>0</v>
      </c>
      <c r="G130" s="51" t="s">
        <v>300</v>
      </c>
      <c r="H130" s="51" t="s">
        <v>51</v>
      </c>
      <c r="I130" s="51" t="s">
        <v>366</v>
      </c>
      <c r="J130" s="52">
        <v>84000</v>
      </c>
      <c r="K130" s="61">
        <f t="shared" si="58"/>
        <v>7150</v>
      </c>
      <c r="L130" s="50" t="s">
        <v>24</v>
      </c>
      <c r="M130" s="54">
        <f t="shared" si="66"/>
        <v>76850</v>
      </c>
      <c r="N130" s="65">
        <f>2000+300+600+650+3600</f>
        <v>7150</v>
      </c>
      <c r="O130" s="55">
        <f t="shared" si="59"/>
        <v>84000</v>
      </c>
      <c r="P130" s="43"/>
      <c r="Q130" s="41" t="s">
        <v>454</v>
      </c>
      <c r="R130" s="10"/>
      <c r="S130" s="10">
        <f t="shared" si="60"/>
        <v>84000</v>
      </c>
      <c r="T130" s="10">
        <f t="shared" si="61"/>
        <v>120000.00000000001</v>
      </c>
      <c r="U130" s="11">
        <f t="shared" si="62"/>
        <v>137142.85714285716</v>
      </c>
      <c r="V130" s="12">
        <f t="shared" si="63"/>
        <v>0.125</v>
      </c>
      <c r="W130" s="11">
        <f t="shared" si="64"/>
        <v>137200</v>
      </c>
      <c r="X130" s="26">
        <f t="shared" si="65"/>
        <v>0.3000000000000001</v>
      </c>
      <c r="Y130" s="13"/>
      <c r="Z130" s="13"/>
      <c r="AA130" s="13"/>
    </row>
    <row r="131" spans="1:27" ht="14.4" customHeight="1">
      <c r="A131" s="75"/>
      <c r="B131" s="46"/>
      <c r="C131" s="56" t="s">
        <v>268</v>
      </c>
      <c r="D131" s="48" t="str">
        <f t="shared" si="26"/>
        <v xml:space="preserve"> 203</v>
      </c>
      <c r="E131" s="57" t="s">
        <v>268</v>
      </c>
      <c r="F131" s="50">
        <f t="shared" si="27"/>
        <v>0</v>
      </c>
      <c r="G131" s="51" t="s">
        <v>300</v>
      </c>
      <c r="H131" s="51" t="s">
        <v>51</v>
      </c>
      <c r="I131" s="51" t="s">
        <v>366</v>
      </c>
      <c r="J131" s="52">
        <v>79000</v>
      </c>
      <c r="K131" s="61">
        <f t="shared" si="58"/>
        <v>7150</v>
      </c>
      <c r="L131" s="50" t="s">
        <v>24</v>
      </c>
      <c r="M131" s="54">
        <f t="shared" si="66"/>
        <v>71850</v>
      </c>
      <c r="N131" s="65">
        <f>2000+300+600+650+3600</f>
        <v>7150</v>
      </c>
      <c r="O131" s="55">
        <f t="shared" si="59"/>
        <v>79000</v>
      </c>
      <c r="P131" s="43"/>
      <c r="Q131" s="41" t="s">
        <v>454</v>
      </c>
      <c r="R131" s="10"/>
      <c r="S131" s="10">
        <f t="shared" si="60"/>
        <v>79000</v>
      </c>
      <c r="T131" s="10">
        <f t="shared" si="61"/>
        <v>112857.14285714287</v>
      </c>
      <c r="U131" s="11">
        <f t="shared" si="62"/>
        <v>128979.5918367347</v>
      </c>
      <c r="V131" s="12">
        <f t="shared" si="63"/>
        <v>0.12499999999999997</v>
      </c>
      <c r="W131" s="11">
        <f t="shared" si="64"/>
        <v>129000</v>
      </c>
      <c r="X131" s="26">
        <f t="shared" si="65"/>
        <v>0.3000000000000001</v>
      </c>
      <c r="Y131" s="13"/>
      <c r="Z131" s="13"/>
      <c r="AA131" s="13"/>
    </row>
    <row r="132" spans="1:27" ht="14.4" customHeight="1">
      <c r="A132" s="75"/>
      <c r="B132" s="46"/>
      <c r="C132" s="56" t="s">
        <v>269</v>
      </c>
      <c r="D132" s="48" t="str">
        <f t="shared" si="26"/>
        <v xml:space="preserve"> 620</v>
      </c>
      <c r="E132" s="57" t="s">
        <v>269</v>
      </c>
      <c r="F132" s="50">
        <f t="shared" si="27"/>
        <v>0</v>
      </c>
      <c r="G132" s="51" t="s">
        <v>300</v>
      </c>
      <c r="H132" s="51" t="s">
        <v>51</v>
      </c>
      <c r="I132" s="51" t="s">
        <v>366</v>
      </c>
      <c r="J132" s="52">
        <v>81000</v>
      </c>
      <c r="K132" s="61">
        <f t="shared" si="58"/>
        <v>7500</v>
      </c>
      <c r="L132" s="50" t="s">
        <v>24</v>
      </c>
      <c r="M132" s="54">
        <f t="shared" si="66"/>
        <v>73500</v>
      </c>
      <c r="N132" s="65">
        <f>2000+300+600+1000+3600</f>
        <v>7500</v>
      </c>
      <c r="O132" s="55">
        <f t="shared" si="59"/>
        <v>81000</v>
      </c>
      <c r="P132" s="44"/>
      <c r="Q132" s="41" t="s">
        <v>447</v>
      </c>
      <c r="R132" s="10"/>
      <c r="S132" s="10">
        <f t="shared" si="60"/>
        <v>81000</v>
      </c>
      <c r="T132" s="10">
        <f t="shared" si="61"/>
        <v>115714.28571428572</v>
      </c>
      <c r="U132" s="11">
        <f t="shared" si="62"/>
        <v>132244.8979591837</v>
      </c>
      <c r="V132" s="12">
        <f t="shared" si="63"/>
        <v>0.12500000000000008</v>
      </c>
      <c r="W132" s="11">
        <f t="shared" si="64"/>
        <v>132300</v>
      </c>
      <c r="X132" s="26">
        <f t="shared" si="65"/>
        <v>0.30000000000000004</v>
      </c>
      <c r="Y132" s="13"/>
      <c r="Z132" s="13"/>
      <c r="AA132" s="14"/>
    </row>
    <row r="133" spans="1:27" ht="14.4" customHeight="1">
      <c r="A133" s="75"/>
      <c r="B133" s="46"/>
      <c r="C133" s="56" t="s">
        <v>270</v>
      </c>
      <c r="D133" s="48" t="str">
        <f t="shared" ref="D133:D196" si="67">REPLACE(C133,1,3, )</f>
        <v xml:space="preserve"> 740</v>
      </c>
      <c r="E133" s="57" t="s">
        <v>270</v>
      </c>
      <c r="F133" s="50">
        <f t="shared" ref="F133:F196" si="68">IF(C133=E133,0,1)</f>
        <v>0</v>
      </c>
      <c r="G133" s="51" t="s">
        <v>300</v>
      </c>
      <c r="H133" s="51" t="s">
        <v>51</v>
      </c>
      <c r="I133" s="51" t="s">
        <v>366</v>
      </c>
      <c r="J133" s="52">
        <v>85000</v>
      </c>
      <c r="K133" s="61">
        <f t="shared" si="58"/>
        <v>7500</v>
      </c>
      <c r="L133" s="50" t="s">
        <v>24</v>
      </c>
      <c r="M133" s="54">
        <f t="shared" si="66"/>
        <v>77500</v>
      </c>
      <c r="N133" s="65">
        <f>2000+300+600+1000+3600</f>
        <v>7500</v>
      </c>
      <c r="O133" s="55">
        <f t="shared" si="59"/>
        <v>85000</v>
      </c>
      <c r="P133" s="43"/>
      <c r="Q133" s="41" t="s">
        <v>447</v>
      </c>
      <c r="R133" s="10"/>
      <c r="S133" s="10">
        <f t="shared" si="60"/>
        <v>85000</v>
      </c>
      <c r="T133" s="10">
        <f t="shared" si="61"/>
        <v>121428.57142857143</v>
      </c>
      <c r="U133" s="11">
        <f t="shared" si="62"/>
        <v>138775.51020408163</v>
      </c>
      <c r="V133" s="12">
        <f t="shared" si="63"/>
        <v>0.12499999999999992</v>
      </c>
      <c r="W133" s="11">
        <f t="shared" si="64"/>
        <v>138800</v>
      </c>
      <c r="X133" s="26">
        <f t="shared" si="65"/>
        <v>0.30000000000000004</v>
      </c>
      <c r="Y133" s="13"/>
      <c r="Z133" s="13"/>
      <c r="AA133" s="14"/>
    </row>
    <row r="134" spans="1:27" ht="14.4" customHeight="1">
      <c r="A134" s="75"/>
      <c r="B134" s="46"/>
      <c r="C134" s="56" t="s">
        <v>59</v>
      </c>
      <c r="D134" s="48" t="str">
        <f t="shared" si="67"/>
        <v xml:space="preserve"> 840</v>
      </c>
      <c r="E134" s="57" t="s">
        <v>59</v>
      </c>
      <c r="F134" s="50">
        <f t="shared" si="68"/>
        <v>0</v>
      </c>
      <c r="G134" s="51" t="s">
        <v>21</v>
      </c>
      <c r="H134" s="51" t="s">
        <v>310</v>
      </c>
      <c r="I134" s="51" t="s">
        <v>366</v>
      </c>
      <c r="J134" s="52">
        <v>90050</v>
      </c>
      <c r="K134" s="61">
        <f t="shared" si="58"/>
        <v>7550</v>
      </c>
      <c r="L134" s="50" t="s">
        <v>24</v>
      </c>
      <c r="M134" s="54">
        <f t="shared" si="66"/>
        <v>82500</v>
      </c>
      <c r="N134" s="65">
        <f>2000+300+800+1000+3450</f>
        <v>7550</v>
      </c>
      <c r="O134" s="55">
        <f t="shared" si="59"/>
        <v>90050</v>
      </c>
      <c r="P134" s="44"/>
      <c r="Q134" s="41" t="s">
        <v>455</v>
      </c>
      <c r="R134" s="10"/>
      <c r="S134" s="10">
        <f t="shared" si="60"/>
        <v>90050</v>
      </c>
      <c r="T134" s="10">
        <f t="shared" si="61"/>
        <v>128642.85714285714</v>
      </c>
      <c r="U134" s="11">
        <f t="shared" si="62"/>
        <v>147020.4081632653</v>
      </c>
      <c r="V134" s="12">
        <f t="shared" si="63"/>
        <v>0.12499999999999993</v>
      </c>
      <c r="W134" s="11">
        <f t="shared" si="64"/>
        <v>147100</v>
      </c>
      <c r="X134" s="26">
        <f t="shared" si="65"/>
        <v>0.3</v>
      </c>
      <c r="Y134" s="36">
        <v>135800</v>
      </c>
      <c r="Z134" s="29">
        <f>T134-Y134</f>
        <v>-7157.1428571428551</v>
      </c>
      <c r="AA134" s="30">
        <f>Z134/Y134</f>
        <v>-5.2703555649063732E-2</v>
      </c>
    </row>
    <row r="135" spans="1:27" ht="14.4" customHeight="1">
      <c r="A135" s="75"/>
      <c r="B135" s="46"/>
      <c r="C135" s="56" t="s">
        <v>57</v>
      </c>
      <c r="D135" s="48" t="str">
        <f t="shared" si="67"/>
        <v xml:space="preserve"> 605</v>
      </c>
      <c r="E135" s="57" t="s">
        <v>57</v>
      </c>
      <c r="F135" s="50">
        <f t="shared" si="68"/>
        <v>0</v>
      </c>
      <c r="G135" s="51" t="s">
        <v>21</v>
      </c>
      <c r="H135" s="51" t="s">
        <v>51</v>
      </c>
      <c r="I135" s="51" t="s">
        <v>366</v>
      </c>
      <c r="J135" s="52">
        <v>84950</v>
      </c>
      <c r="K135" s="61">
        <f t="shared" si="58"/>
        <v>5950</v>
      </c>
      <c r="L135" s="50" t="s">
        <v>24</v>
      </c>
      <c r="M135" s="54">
        <f t="shared" si="66"/>
        <v>79000</v>
      </c>
      <c r="N135" s="65">
        <f>2000+300+800+2850</f>
        <v>5950</v>
      </c>
      <c r="O135" s="55">
        <f t="shared" si="59"/>
        <v>84950</v>
      </c>
      <c r="P135" s="43"/>
      <c r="Q135" s="41" t="s">
        <v>456</v>
      </c>
      <c r="R135" s="10"/>
      <c r="S135" s="10">
        <f t="shared" si="60"/>
        <v>84950</v>
      </c>
      <c r="T135" s="10">
        <f t="shared" si="61"/>
        <v>121357.14285714287</v>
      </c>
      <c r="U135" s="11">
        <f t="shared" si="62"/>
        <v>138693.87755102041</v>
      </c>
      <c r="V135" s="12">
        <f t="shared" si="63"/>
        <v>0.12499999999999994</v>
      </c>
      <c r="W135" s="11">
        <f t="shared" si="64"/>
        <v>138700</v>
      </c>
      <c r="X135" s="26">
        <f t="shared" si="65"/>
        <v>0.30000000000000004</v>
      </c>
      <c r="Y135" s="36">
        <v>115150</v>
      </c>
      <c r="Z135" s="29">
        <f>T135-Y135</f>
        <v>6207.1428571428696</v>
      </c>
      <c r="AA135" s="30">
        <f>Z135/Y135</f>
        <v>5.3904844612617193E-2</v>
      </c>
    </row>
    <row r="136" spans="1:27" ht="14.4" customHeight="1">
      <c r="A136" s="75"/>
      <c r="B136" s="46"/>
      <c r="C136" s="56" t="s">
        <v>58</v>
      </c>
      <c r="D136" s="48" t="str">
        <f t="shared" si="67"/>
        <v xml:space="preserve"> 348</v>
      </c>
      <c r="E136" s="57" t="s">
        <v>58</v>
      </c>
      <c r="F136" s="50">
        <f t="shared" si="68"/>
        <v>0</v>
      </c>
      <c r="G136" s="51" t="s">
        <v>21</v>
      </c>
      <c r="H136" s="51" t="s">
        <v>51</v>
      </c>
      <c r="I136" s="51" t="s">
        <v>366</v>
      </c>
      <c r="J136" s="52">
        <v>56450</v>
      </c>
      <c r="K136" s="61">
        <f t="shared" si="58"/>
        <v>6950</v>
      </c>
      <c r="L136" s="50" t="s">
        <v>24</v>
      </c>
      <c r="M136" s="54">
        <f t="shared" si="66"/>
        <v>49500</v>
      </c>
      <c r="N136" s="65">
        <f>2000+300+800+1000+2850</f>
        <v>6950</v>
      </c>
      <c r="O136" s="55">
        <f t="shared" si="59"/>
        <v>56450</v>
      </c>
      <c r="P136" s="43"/>
      <c r="Q136" s="41" t="s">
        <v>457</v>
      </c>
      <c r="R136" s="10"/>
      <c r="S136" s="10">
        <f t="shared" si="60"/>
        <v>56450</v>
      </c>
      <c r="T136" s="10">
        <f t="shared" si="61"/>
        <v>80642.857142857145</v>
      </c>
      <c r="U136" s="11">
        <f t="shared" si="62"/>
        <v>92163.265306122456</v>
      </c>
      <c r="V136" s="12">
        <f t="shared" si="63"/>
        <v>0.12500000000000003</v>
      </c>
      <c r="W136" s="11">
        <f t="shared" si="64"/>
        <v>92200</v>
      </c>
      <c r="X136" s="26">
        <f t="shared" si="65"/>
        <v>0.30000000000000004</v>
      </c>
      <c r="Y136" s="36">
        <v>79100</v>
      </c>
      <c r="Z136" s="29">
        <f>T136-Y136</f>
        <v>1542.8571428571449</v>
      </c>
      <c r="AA136" s="30">
        <f>Z136/Y136</f>
        <v>1.9505147191620036E-2</v>
      </c>
    </row>
    <row r="137" spans="1:27" ht="14.4" customHeight="1">
      <c r="A137" s="75"/>
      <c r="B137" s="46"/>
      <c r="C137" s="56" t="s">
        <v>259</v>
      </c>
      <c r="D137" s="48" t="str">
        <f t="shared" si="67"/>
        <v xml:space="preserve"> 292</v>
      </c>
      <c r="E137" s="57" t="s">
        <v>259</v>
      </c>
      <c r="F137" s="50">
        <f t="shared" si="68"/>
        <v>0</v>
      </c>
      <c r="G137" s="51" t="s">
        <v>300</v>
      </c>
      <c r="H137" s="51" t="s">
        <v>51</v>
      </c>
      <c r="I137" s="51" t="s">
        <v>364</v>
      </c>
      <c r="J137" s="52">
        <v>85000</v>
      </c>
      <c r="K137" s="61">
        <f t="shared" si="58"/>
        <v>7500</v>
      </c>
      <c r="L137" s="50" t="s">
        <v>24</v>
      </c>
      <c r="M137" s="54">
        <f t="shared" si="66"/>
        <v>77500</v>
      </c>
      <c r="N137" s="65">
        <f>2000+300+600+1000+3600</f>
        <v>7500</v>
      </c>
      <c r="O137" s="55">
        <f t="shared" si="59"/>
        <v>85000</v>
      </c>
      <c r="P137" s="43"/>
      <c r="Q137" s="41" t="s">
        <v>450</v>
      </c>
      <c r="R137" s="10"/>
      <c r="S137" s="10">
        <f t="shared" si="60"/>
        <v>85000</v>
      </c>
      <c r="T137" s="10">
        <f t="shared" si="61"/>
        <v>121428.57142857143</v>
      </c>
      <c r="U137" s="11">
        <f t="shared" si="62"/>
        <v>138775.51020408163</v>
      </c>
      <c r="V137" s="12">
        <f t="shared" si="63"/>
        <v>0.12499999999999992</v>
      </c>
      <c r="W137" s="11">
        <f t="shared" si="64"/>
        <v>138800</v>
      </c>
      <c r="X137" s="26">
        <f t="shared" si="65"/>
        <v>0.30000000000000004</v>
      </c>
      <c r="Y137" s="13"/>
      <c r="Z137" s="13"/>
      <c r="AA137" s="14"/>
    </row>
    <row r="138" spans="1:27" ht="14.4" customHeight="1">
      <c r="A138" s="75"/>
      <c r="B138" s="46"/>
      <c r="C138" s="56" t="s">
        <v>260</v>
      </c>
      <c r="D138" s="48" t="str">
        <f t="shared" si="67"/>
        <v xml:space="preserve"> 592</v>
      </c>
      <c r="E138" s="57" t="s">
        <v>260</v>
      </c>
      <c r="F138" s="50">
        <f t="shared" si="68"/>
        <v>0</v>
      </c>
      <c r="G138" s="51" t="s">
        <v>300</v>
      </c>
      <c r="H138" s="51" t="s">
        <v>51</v>
      </c>
      <c r="I138" s="51" t="s">
        <v>364</v>
      </c>
      <c r="J138" s="52">
        <v>77000</v>
      </c>
      <c r="K138" s="61">
        <f t="shared" si="58"/>
        <v>6900</v>
      </c>
      <c r="L138" s="50" t="s">
        <v>24</v>
      </c>
      <c r="M138" s="54">
        <f t="shared" si="66"/>
        <v>70100</v>
      </c>
      <c r="N138" s="65">
        <f>2000+300+600+1000+3000</f>
        <v>6900</v>
      </c>
      <c r="O138" s="55">
        <f t="shared" si="59"/>
        <v>77000</v>
      </c>
      <c r="P138" s="43"/>
      <c r="Q138" s="41" t="s">
        <v>451</v>
      </c>
      <c r="R138" s="10"/>
      <c r="S138" s="10">
        <f t="shared" si="60"/>
        <v>77000</v>
      </c>
      <c r="T138" s="10">
        <f t="shared" si="61"/>
        <v>110000</v>
      </c>
      <c r="U138" s="11">
        <f t="shared" si="62"/>
        <v>125714.28571428571</v>
      </c>
      <c r="V138" s="12">
        <f t="shared" si="63"/>
        <v>0.12499999999999997</v>
      </c>
      <c r="W138" s="11">
        <f t="shared" si="64"/>
        <v>125800</v>
      </c>
      <c r="X138" s="26">
        <f t="shared" si="65"/>
        <v>0.3</v>
      </c>
      <c r="Y138" s="13"/>
      <c r="Z138" s="13"/>
      <c r="AA138" s="14"/>
    </row>
    <row r="139" spans="1:27" ht="14.4" customHeight="1">
      <c r="A139" s="75"/>
      <c r="B139" s="46"/>
      <c r="C139" s="56" t="s">
        <v>261</v>
      </c>
      <c r="D139" s="48" t="str">
        <f t="shared" si="67"/>
        <v xml:space="preserve"> 645</v>
      </c>
      <c r="E139" s="57" t="s">
        <v>261</v>
      </c>
      <c r="F139" s="50">
        <f t="shared" si="68"/>
        <v>0</v>
      </c>
      <c r="G139" s="51" t="s">
        <v>300</v>
      </c>
      <c r="H139" s="51" t="s">
        <v>51</v>
      </c>
      <c r="I139" s="51" t="s">
        <v>364</v>
      </c>
      <c r="J139" s="52">
        <v>88000</v>
      </c>
      <c r="K139" s="61">
        <f t="shared" si="58"/>
        <v>5900</v>
      </c>
      <c r="L139" s="50" t="s">
        <v>24</v>
      </c>
      <c r="M139" s="54">
        <f t="shared" si="66"/>
        <v>82100</v>
      </c>
      <c r="N139" s="65">
        <f>2000+300+600+3000</f>
        <v>5900</v>
      </c>
      <c r="O139" s="55">
        <f t="shared" si="59"/>
        <v>88000</v>
      </c>
      <c r="P139" s="43"/>
      <c r="Q139" s="41" t="s">
        <v>452</v>
      </c>
      <c r="R139" s="10"/>
      <c r="S139" s="10">
        <f t="shared" si="60"/>
        <v>88000</v>
      </c>
      <c r="T139" s="10">
        <f t="shared" si="61"/>
        <v>125714.28571428572</v>
      </c>
      <c r="U139" s="11">
        <f t="shared" si="62"/>
        <v>143673.46938775512</v>
      </c>
      <c r="V139" s="12">
        <f t="shared" si="63"/>
        <v>0.12500000000000003</v>
      </c>
      <c r="W139" s="11">
        <f t="shared" si="64"/>
        <v>143700</v>
      </c>
      <c r="X139" s="26">
        <f t="shared" si="65"/>
        <v>0.30000000000000004</v>
      </c>
      <c r="Y139" s="13"/>
      <c r="Z139" s="13"/>
      <c r="AA139" s="13"/>
    </row>
    <row r="140" spans="1:27" ht="14.4" customHeight="1">
      <c r="A140" s="75"/>
      <c r="B140" s="46"/>
      <c r="C140" s="56" t="s">
        <v>151</v>
      </c>
      <c r="D140" s="48" t="str">
        <f t="shared" si="67"/>
        <v xml:space="preserve"> 426</v>
      </c>
      <c r="E140" s="57" t="s">
        <v>151</v>
      </c>
      <c r="F140" s="50">
        <f t="shared" si="68"/>
        <v>0</v>
      </c>
      <c r="G140" s="51" t="s">
        <v>300</v>
      </c>
      <c r="H140" s="51" t="s">
        <v>312</v>
      </c>
      <c r="I140" s="51" t="s">
        <v>338</v>
      </c>
      <c r="J140" s="52">
        <v>80000</v>
      </c>
      <c r="K140" s="61">
        <f t="shared" si="58"/>
        <v>2800</v>
      </c>
      <c r="L140" s="50" t="s">
        <v>24</v>
      </c>
      <c r="M140" s="54">
        <f t="shared" si="66"/>
        <v>77200</v>
      </c>
      <c r="N140" s="54">
        <f>2000+200+600</f>
        <v>2800</v>
      </c>
      <c r="O140" s="55">
        <f t="shared" si="59"/>
        <v>80000</v>
      </c>
      <c r="P140" s="44"/>
      <c r="Q140" s="41" t="s">
        <v>393</v>
      </c>
      <c r="R140" s="10"/>
      <c r="S140" s="10">
        <f t="shared" si="60"/>
        <v>80000</v>
      </c>
      <c r="T140" s="10">
        <f t="shared" si="61"/>
        <v>114285.71428571429</v>
      </c>
      <c r="U140" s="11">
        <f t="shared" si="62"/>
        <v>130612.24489795919</v>
      </c>
      <c r="V140" s="12">
        <f t="shared" si="63"/>
        <v>0.12499999999999999</v>
      </c>
      <c r="W140" s="11">
        <f t="shared" si="64"/>
        <v>130700</v>
      </c>
      <c r="X140" s="71">
        <f t="shared" si="65"/>
        <v>0.30000000000000004</v>
      </c>
      <c r="Y140" s="13"/>
      <c r="Z140" s="13"/>
      <c r="AA140" s="14"/>
    </row>
    <row r="141" spans="1:27" ht="14.4" customHeight="1">
      <c r="A141" s="75"/>
      <c r="B141" s="46"/>
      <c r="C141" s="56" t="s">
        <v>152</v>
      </c>
      <c r="D141" s="48" t="str">
        <f t="shared" si="67"/>
        <v xml:space="preserve"> 139</v>
      </c>
      <c r="E141" s="57" t="s">
        <v>152</v>
      </c>
      <c r="F141" s="50">
        <f t="shared" si="68"/>
        <v>0</v>
      </c>
      <c r="G141" s="51" t="s">
        <v>300</v>
      </c>
      <c r="H141" s="51" t="s">
        <v>312</v>
      </c>
      <c r="I141" s="51" t="s">
        <v>338</v>
      </c>
      <c r="J141" s="52">
        <v>80000</v>
      </c>
      <c r="K141" s="61">
        <f t="shared" si="58"/>
        <v>2800</v>
      </c>
      <c r="L141" s="50" t="s">
        <v>24</v>
      </c>
      <c r="M141" s="54">
        <f t="shared" si="66"/>
        <v>77200</v>
      </c>
      <c r="N141" s="54">
        <f>2000+200+600</f>
        <v>2800</v>
      </c>
      <c r="O141" s="55">
        <f t="shared" si="59"/>
        <v>80000</v>
      </c>
      <c r="P141" s="44"/>
      <c r="Q141" s="41" t="s">
        <v>393</v>
      </c>
      <c r="R141" s="10"/>
      <c r="S141" s="10">
        <f t="shared" si="60"/>
        <v>80000</v>
      </c>
      <c r="T141" s="10">
        <f t="shared" si="61"/>
        <v>114285.71428571429</v>
      </c>
      <c r="U141" s="11">
        <f t="shared" si="62"/>
        <v>130612.24489795919</v>
      </c>
      <c r="V141" s="12">
        <f t="shared" si="63"/>
        <v>0.12499999999999999</v>
      </c>
      <c r="W141" s="11">
        <f t="shared" si="64"/>
        <v>130700</v>
      </c>
      <c r="X141" s="71">
        <f t="shared" si="65"/>
        <v>0.30000000000000004</v>
      </c>
      <c r="Y141" s="13"/>
      <c r="Z141" s="13"/>
      <c r="AA141" s="14"/>
    </row>
    <row r="142" spans="1:27" ht="14.4" customHeight="1">
      <c r="A142" s="75"/>
      <c r="B142" s="46"/>
      <c r="C142" s="56" t="s">
        <v>190</v>
      </c>
      <c r="D142" s="48" t="str">
        <f t="shared" si="67"/>
        <v xml:space="preserve"> 720</v>
      </c>
      <c r="E142" s="57" t="s">
        <v>190</v>
      </c>
      <c r="F142" s="50">
        <f t="shared" si="68"/>
        <v>0</v>
      </c>
      <c r="G142" s="51" t="s">
        <v>300</v>
      </c>
      <c r="H142" s="51" t="s">
        <v>317</v>
      </c>
      <c r="I142" s="51" t="s">
        <v>347</v>
      </c>
      <c r="J142" s="52">
        <v>132500</v>
      </c>
      <c r="K142" s="61">
        <f t="shared" si="58"/>
        <v>6250</v>
      </c>
      <c r="L142" s="50" t="s">
        <v>24</v>
      </c>
      <c r="M142" s="54">
        <f t="shared" si="66"/>
        <v>126250</v>
      </c>
      <c r="N142" s="65">
        <f>2000+200+350+600+3100</f>
        <v>6250</v>
      </c>
      <c r="O142" s="55">
        <f t="shared" si="59"/>
        <v>132500</v>
      </c>
      <c r="P142" s="43"/>
      <c r="Q142" s="41" t="s">
        <v>408</v>
      </c>
      <c r="R142" s="10"/>
      <c r="S142" s="10">
        <f t="shared" si="60"/>
        <v>132500</v>
      </c>
      <c r="T142" s="10">
        <f t="shared" si="61"/>
        <v>189285.71428571429</v>
      </c>
      <c r="U142" s="11">
        <f t="shared" si="62"/>
        <v>216326.53061224491</v>
      </c>
      <c r="V142" s="12">
        <f t="shared" si="63"/>
        <v>0.12500000000000003</v>
      </c>
      <c r="W142" s="11">
        <f t="shared" si="64"/>
        <v>216400</v>
      </c>
      <c r="X142" s="26">
        <f t="shared" si="65"/>
        <v>0.3</v>
      </c>
      <c r="Y142" s="13"/>
      <c r="Z142" s="13"/>
      <c r="AA142" s="13"/>
    </row>
    <row r="143" spans="1:27" ht="14.4" customHeight="1">
      <c r="A143" s="75"/>
      <c r="B143" s="46"/>
      <c r="C143" s="56" t="s">
        <v>481</v>
      </c>
      <c r="D143" s="48" t="str">
        <f t="shared" si="67"/>
        <v xml:space="preserve"> 223</v>
      </c>
      <c r="E143" s="58" t="s">
        <v>481</v>
      </c>
      <c r="F143" s="50">
        <f t="shared" si="68"/>
        <v>0</v>
      </c>
      <c r="G143" s="51" t="s">
        <v>21</v>
      </c>
      <c r="H143" s="51" t="s">
        <v>317</v>
      </c>
      <c r="I143" s="51" t="s">
        <v>347</v>
      </c>
      <c r="J143" s="52">
        <v>0</v>
      </c>
      <c r="K143" s="61">
        <f t="shared" si="58"/>
        <v>0</v>
      </c>
      <c r="L143" s="58" t="s">
        <v>473</v>
      </c>
      <c r="M143" s="54">
        <f t="shared" si="66"/>
        <v>0</v>
      </c>
      <c r="N143" s="65">
        <v>0</v>
      </c>
      <c r="O143" s="55">
        <v>0</v>
      </c>
      <c r="P143" s="43"/>
      <c r="Q143" s="41"/>
      <c r="R143" s="10"/>
      <c r="S143" s="10"/>
      <c r="T143" s="10"/>
      <c r="U143" s="11"/>
      <c r="V143" s="12"/>
      <c r="W143" s="11"/>
      <c r="X143" s="26"/>
      <c r="Y143" s="36">
        <v>0</v>
      </c>
      <c r="Z143" s="29">
        <f>T143-Y143</f>
        <v>0</v>
      </c>
      <c r="AA143" s="30" t="e">
        <f>Z143/Y143</f>
        <v>#DIV/0!</v>
      </c>
    </row>
    <row r="144" spans="1:27" ht="14.4" customHeight="1">
      <c r="A144" s="75"/>
      <c r="B144" s="46"/>
      <c r="C144" s="56" t="s">
        <v>191</v>
      </c>
      <c r="D144" s="48" t="str">
        <f t="shared" si="67"/>
        <v xml:space="preserve"> 766</v>
      </c>
      <c r="E144" s="57" t="s">
        <v>191</v>
      </c>
      <c r="F144" s="50">
        <f t="shared" si="68"/>
        <v>0</v>
      </c>
      <c r="G144" s="51" t="s">
        <v>300</v>
      </c>
      <c r="H144" s="51" t="s">
        <v>318</v>
      </c>
      <c r="I144" s="51" t="s">
        <v>347</v>
      </c>
      <c r="J144" s="52">
        <v>72000</v>
      </c>
      <c r="K144" s="61">
        <f t="shared" si="58"/>
        <v>3900</v>
      </c>
      <c r="L144" s="50" t="s">
        <v>24</v>
      </c>
      <c r="M144" s="54">
        <f t="shared" si="66"/>
        <v>68100</v>
      </c>
      <c r="N144" s="65">
        <f>2000+200+350+600+750</f>
        <v>3900</v>
      </c>
      <c r="O144" s="55">
        <f t="shared" ref="O144:O158" si="69">M144+N144</f>
        <v>72000</v>
      </c>
      <c r="P144" s="43"/>
      <c r="Q144" s="41" t="s">
        <v>401</v>
      </c>
      <c r="R144" s="10"/>
      <c r="S144" s="10">
        <f t="shared" ref="S144:S158" si="70">R144+O144</f>
        <v>72000</v>
      </c>
      <c r="T144" s="10">
        <f t="shared" ref="T144:T158" si="71">S144/0.7</f>
        <v>102857.14285714287</v>
      </c>
      <c r="U144" s="11">
        <f t="shared" ref="U144:U158" si="72">T144/0.875</f>
        <v>117551.02040816328</v>
      </c>
      <c r="V144" s="12">
        <f t="shared" ref="V144:V158" si="73">(U144-T144)/U144</f>
        <v>0.12500000000000003</v>
      </c>
      <c r="W144" s="11">
        <f t="shared" ref="W144:W158" si="74">(ROUNDUP((U144/100),0))*100</f>
        <v>117600</v>
      </c>
      <c r="X144" s="26">
        <f t="shared" ref="X144:X158" si="75">(T144-O144)/T144</f>
        <v>0.3000000000000001</v>
      </c>
      <c r="Y144" s="13"/>
      <c r="Z144" s="13"/>
      <c r="AA144" s="13"/>
    </row>
    <row r="145" spans="1:27" ht="14.4" customHeight="1">
      <c r="A145" s="75"/>
      <c r="B145" s="46"/>
      <c r="C145" s="56" t="s">
        <v>82</v>
      </c>
      <c r="D145" s="48" t="str">
        <f t="shared" si="67"/>
        <v xml:space="preserve"> 716</v>
      </c>
      <c r="E145" s="57" t="s">
        <v>82</v>
      </c>
      <c r="F145" s="50">
        <f t="shared" si="68"/>
        <v>0</v>
      </c>
      <c r="G145" s="51" t="s">
        <v>21</v>
      </c>
      <c r="H145" s="51" t="s">
        <v>317</v>
      </c>
      <c r="I145" s="51" t="s">
        <v>347</v>
      </c>
      <c r="J145" s="52">
        <v>132500</v>
      </c>
      <c r="K145" s="61">
        <f t="shared" si="58"/>
        <v>6250</v>
      </c>
      <c r="L145" s="50" t="s">
        <v>24</v>
      </c>
      <c r="M145" s="54">
        <f t="shared" si="66"/>
        <v>126250</v>
      </c>
      <c r="N145" s="65">
        <f>2000+200+350+600+3100</f>
        <v>6250</v>
      </c>
      <c r="O145" s="55">
        <f t="shared" si="69"/>
        <v>132500</v>
      </c>
      <c r="P145" s="43"/>
      <c r="Q145" s="41" t="s">
        <v>408</v>
      </c>
      <c r="R145" s="10"/>
      <c r="S145" s="10">
        <f t="shared" si="70"/>
        <v>132500</v>
      </c>
      <c r="T145" s="10">
        <f t="shared" si="71"/>
        <v>189285.71428571429</v>
      </c>
      <c r="U145" s="11">
        <f t="shared" si="72"/>
        <v>216326.53061224491</v>
      </c>
      <c r="V145" s="12">
        <f t="shared" si="73"/>
        <v>0.12500000000000003</v>
      </c>
      <c r="W145" s="11">
        <f t="shared" si="74"/>
        <v>216400</v>
      </c>
      <c r="X145" s="26">
        <f t="shared" si="75"/>
        <v>0.3</v>
      </c>
      <c r="Y145" s="36">
        <v>188650</v>
      </c>
      <c r="Z145" s="29">
        <f>T145-Y145</f>
        <v>635.71428571428987</v>
      </c>
      <c r="AA145" s="30">
        <f>Z145/Y145</f>
        <v>3.3698080345310887E-3</v>
      </c>
    </row>
    <row r="146" spans="1:27" ht="14.4" customHeight="1">
      <c r="A146" s="75"/>
      <c r="B146" s="46"/>
      <c r="C146" s="56" t="s">
        <v>61</v>
      </c>
      <c r="D146" s="48" t="str">
        <f t="shared" si="67"/>
        <v xml:space="preserve"> 468</v>
      </c>
      <c r="E146" s="57" t="s">
        <v>61</v>
      </c>
      <c r="F146" s="50">
        <f t="shared" si="68"/>
        <v>0</v>
      </c>
      <c r="G146" s="51" t="s">
        <v>21</v>
      </c>
      <c r="H146" s="51" t="s">
        <v>60</v>
      </c>
      <c r="I146" s="51" t="s">
        <v>363</v>
      </c>
      <c r="J146" s="52">
        <v>36000</v>
      </c>
      <c r="K146" s="61">
        <f t="shared" si="58"/>
        <v>4900</v>
      </c>
      <c r="L146" s="50" t="s">
        <v>24</v>
      </c>
      <c r="M146" s="54">
        <f t="shared" si="66"/>
        <v>31100</v>
      </c>
      <c r="N146" s="65">
        <f>2000+300+600+2000</f>
        <v>4900</v>
      </c>
      <c r="O146" s="55">
        <f t="shared" si="69"/>
        <v>36000</v>
      </c>
      <c r="P146" s="43"/>
      <c r="Q146" s="41" t="s">
        <v>392</v>
      </c>
      <c r="R146" s="10"/>
      <c r="S146" s="10">
        <f t="shared" si="70"/>
        <v>36000</v>
      </c>
      <c r="T146" s="10">
        <f t="shared" si="71"/>
        <v>51428.571428571435</v>
      </c>
      <c r="U146" s="11">
        <f t="shared" si="72"/>
        <v>58775.510204081642</v>
      </c>
      <c r="V146" s="12">
        <f t="shared" si="73"/>
        <v>0.12500000000000003</v>
      </c>
      <c r="W146" s="11">
        <f t="shared" si="74"/>
        <v>58800</v>
      </c>
      <c r="X146" s="26">
        <f t="shared" si="75"/>
        <v>0.3000000000000001</v>
      </c>
      <c r="Y146" s="36">
        <v>52938</v>
      </c>
      <c r="Z146" s="29">
        <f>T146-Y146</f>
        <v>-1509.4285714285652</v>
      </c>
      <c r="AA146" s="30">
        <f>Z146/Y146</f>
        <v>-2.8513139359790041E-2</v>
      </c>
    </row>
    <row r="147" spans="1:27" ht="14.4" customHeight="1">
      <c r="A147" s="75"/>
      <c r="B147" s="46"/>
      <c r="C147" s="56" t="s">
        <v>107</v>
      </c>
      <c r="D147" s="48" t="str">
        <f t="shared" si="67"/>
        <v xml:space="preserve"> 578</v>
      </c>
      <c r="E147" s="57" t="s">
        <v>107</v>
      </c>
      <c r="F147" s="50">
        <f t="shared" si="68"/>
        <v>0</v>
      </c>
      <c r="G147" s="51" t="s">
        <v>21</v>
      </c>
      <c r="H147" s="51" t="s">
        <v>60</v>
      </c>
      <c r="I147" s="51" t="s">
        <v>363</v>
      </c>
      <c r="J147" s="52">
        <v>37000</v>
      </c>
      <c r="K147" s="61">
        <f t="shared" si="58"/>
        <v>5900</v>
      </c>
      <c r="L147" s="50" t="s">
        <v>24</v>
      </c>
      <c r="M147" s="54">
        <f t="shared" si="66"/>
        <v>31100</v>
      </c>
      <c r="N147" s="65">
        <f>2000+300+600+2000+1000</f>
        <v>5900</v>
      </c>
      <c r="O147" s="55">
        <f t="shared" si="69"/>
        <v>37000</v>
      </c>
      <c r="P147" s="43"/>
      <c r="Q147" s="41" t="s">
        <v>447</v>
      </c>
      <c r="R147" s="10"/>
      <c r="S147" s="10">
        <f t="shared" si="70"/>
        <v>37000</v>
      </c>
      <c r="T147" s="10">
        <f t="shared" si="71"/>
        <v>52857.142857142862</v>
      </c>
      <c r="U147" s="11">
        <f t="shared" si="72"/>
        <v>60408.163265306132</v>
      </c>
      <c r="V147" s="12">
        <f t="shared" si="73"/>
        <v>0.12500000000000006</v>
      </c>
      <c r="W147" s="11">
        <f t="shared" si="74"/>
        <v>60500</v>
      </c>
      <c r="X147" s="26">
        <f t="shared" si="75"/>
        <v>0.30000000000000004</v>
      </c>
      <c r="Y147" s="36">
        <v>52938</v>
      </c>
      <c r="Z147" s="29">
        <f>T147-Y147</f>
        <v>-80.85714285713766</v>
      </c>
      <c r="AA147" s="30">
        <f>Z147/Y147</f>
        <v>-1.5273932308953429E-3</v>
      </c>
    </row>
    <row r="148" spans="1:27" ht="14.4" customHeight="1">
      <c r="A148" s="75"/>
      <c r="B148" s="46"/>
      <c r="C148" s="56" t="s">
        <v>257</v>
      </c>
      <c r="D148" s="48" t="str">
        <f t="shared" si="67"/>
        <v xml:space="preserve"> 424</v>
      </c>
      <c r="E148" s="57" t="s">
        <v>257</v>
      </c>
      <c r="F148" s="50">
        <f t="shared" si="68"/>
        <v>0</v>
      </c>
      <c r="G148" s="51" t="s">
        <v>300</v>
      </c>
      <c r="H148" s="51" t="s">
        <v>310</v>
      </c>
      <c r="I148" s="51" t="s">
        <v>363</v>
      </c>
      <c r="J148" s="62">
        <f>M148</f>
        <v>67500</v>
      </c>
      <c r="K148" s="61">
        <f t="shared" si="58"/>
        <v>0</v>
      </c>
      <c r="L148" s="63" t="s">
        <v>23</v>
      </c>
      <c r="M148" s="67">
        <v>67500</v>
      </c>
      <c r="N148" s="65">
        <f>2000+300+600+1000+3000</f>
        <v>6900</v>
      </c>
      <c r="O148" s="55">
        <f t="shared" si="69"/>
        <v>74400</v>
      </c>
      <c r="P148" s="44"/>
      <c r="Q148" s="41" t="s">
        <v>448</v>
      </c>
      <c r="R148" s="10"/>
      <c r="S148" s="10">
        <f t="shared" si="70"/>
        <v>74400</v>
      </c>
      <c r="T148" s="10">
        <f t="shared" si="71"/>
        <v>106285.71428571429</v>
      </c>
      <c r="U148" s="11">
        <f t="shared" si="72"/>
        <v>121469.38775510204</v>
      </c>
      <c r="V148" s="12">
        <f t="shared" si="73"/>
        <v>0.12499999999999997</v>
      </c>
      <c r="W148" s="11">
        <f t="shared" si="74"/>
        <v>121500</v>
      </c>
      <c r="X148" s="26">
        <f t="shared" si="75"/>
        <v>0.30000000000000004</v>
      </c>
      <c r="Y148" s="13"/>
      <c r="Z148" s="13"/>
      <c r="AA148" s="13"/>
    </row>
    <row r="149" spans="1:27" ht="14.4" customHeight="1">
      <c r="A149" s="75"/>
      <c r="B149" s="46"/>
      <c r="C149" s="56" t="s">
        <v>258</v>
      </c>
      <c r="D149" s="48" t="str">
        <f t="shared" si="67"/>
        <v xml:space="preserve"> 930</v>
      </c>
      <c r="E149" s="57" t="s">
        <v>258</v>
      </c>
      <c r="F149" s="50">
        <f t="shared" si="68"/>
        <v>0</v>
      </c>
      <c r="G149" s="51" t="s">
        <v>300</v>
      </c>
      <c r="H149" s="51" t="s">
        <v>51</v>
      </c>
      <c r="I149" s="51" t="s">
        <v>363</v>
      </c>
      <c r="J149" s="62">
        <f>M149</f>
        <v>65000</v>
      </c>
      <c r="K149" s="61">
        <f t="shared" si="58"/>
        <v>0</v>
      </c>
      <c r="L149" s="63" t="s">
        <v>23</v>
      </c>
      <c r="M149" s="67">
        <v>65000</v>
      </c>
      <c r="N149" s="65">
        <f>2000+300+600+650+3000</f>
        <v>6550</v>
      </c>
      <c r="O149" s="55">
        <f t="shared" si="69"/>
        <v>71550</v>
      </c>
      <c r="P149" s="43"/>
      <c r="Q149" s="41" t="s">
        <v>449</v>
      </c>
      <c r="R149" s="10"/>
      <c r="S149" s="10">
        <f t="shared" si="70"/>
        <v>71550</v>
      </c>
      <c r="T149" s="10">
        <f t="shared" si="71"/>
        <v>102214.28571428572</v>
      </c>
      <c r="U149" s="11">
        <f t="shared" si="72"/>
        <v>116816.32653061226</v>
      </c>
      <c r="V149" s="12">
        <f t="shared" si="73"/>
        <v>0.12500000000000006</v>
      </c>
      <c r="W149" s="11">
        <f t="shared" si="74"/>
        <v>116900</v>
      </c>
      <c r="X149" s="26">
        <f t="shared" si="75"/>
        <v>0.30000000000000004</v>
      </c>
      <c r="Y149" s="13"/>
      <c r="Z149" s="13"/>
      <c r="AA149" s="13"/>
    </row>
    <row r="150" spans="1:27" ht="14.4" customHeight="1">
      <c r="A150" s="75"/>
      <c r="B150" s="46"/>
      <c r="C150" s="56" t="s">
        <v>130</v>
      </c>
      <c r="D150" s="48" t="str">
        <f t="shared" si="67"/>
        <v xml:space="preserve"> 478</v>
      </c>
      <c r="E150" s="57" t="s">
        <v>130</v>
      </c>
      <c r="F150" s="50">
        <f t="shared" si="68"/>
        <v>0</v>
      </c>
      <c r="G150" s="51" t="s">
        <v>300</v>
      </c>
      <c r="H150" s="51" t="s">
        <v>42</v>
      </c>
      <c r="I150" s="51" t="s">
        <v>333</v>
      </c>
      <c r="J150" s="52">
        <v>77000</v>
      </c>
      <c r="K150" s="61">
        <f t="shared" si="58"/>
        <v>6800</v>
      </c>
      <c r="L150" s="50" t="s">
        <v>24</v>
      </c>
      <c r="M150" s="54">
        <f t="shared" ref="M150:M158" si="76">J150-N150</f>
        <v>70200</v>
      </c>
      <c r="N150" s="54">
        <f>2000+200+350+600+650+3000</f>
        <v>6800</v>
      </c>
      <c r="O150" s="55">
        <f t="shared" si="69"/>
        <v>77000</v>
      </c>
      <c r="P150" s="43"/>
      <c r="Q150" s="41" t="s">
        <v>375</v>
      </c>
      <c r="R150" s="10"/>
      <c r="S150" s="10">
        <f t="shared" si="70"/>
        <v>77000</v>
      </c>
      <c r="T150" s="10">
        <f t="shared" si="71"/>
        <v>110000</v>
      </c>
      <c r="U150" s="11">
        <f t="shared" si="72"/>
        <v>125714.28571428571</v>
      </c>
      <c r="V150" s="12">
        <f t="shared" si="73"/>
        <v>0.12499999999999997</v>
      </c>
      <c r="W150" s="11">
        <f t="shared" si="74"/>
        <v>125800</v>
      </c>
      <c r="X150" s="26">
        <f t="shared" si="75"/>
        <v>0.3</v>
      </c>
      <c r="Y150" s="13"/>
      <c r="Z150" s="13"/>
      <c r="AA150" s="13"/>
    </row>
    <row r="151" spans="1:27" ht="14.4" customHeight="1">
      <c r="A151" s="75"/>
      <c r="B151" s="46"/>
      <c r="C151" s="56" t="s">
        <v>131</v>
      </c>
      <c r="D151" s="48" t="str">
        <f t="shared" si="67"/>
        <v xml:space="preserve"> 358</v>
      </c>
      <c r="E151" s="57" t="s">
        <v>131</v>
      </c>
      <c r="F151" s="50">
        <f t="shared" si="68"/>
        <v>0</v>
      </c>
      <c r="G151" s="51" t="s">
        <v>300</v>
      </c>
      <c r="H151" s="51" t="s">
        <v>307</v>
      </c>
      <c r="I151" s="51" t="s">
        <v>333</v>
      </c>
      <c r="J151" s="52">
        <v>88000</v>
      </c>
      <c r="K151" s="61">
        <f t="shared" si="58"/>
        <v>3900</v>
      </c>
      <c r="L151" s="50" t="s">
        <v>24</v>
      </c>
      <c r="M151" s="54">
        <f t="shared" si="76"/>
        <v>84100</v>
      </c>
      <c r="N151" s="54">
        <f>2000+200+350+600+750</f>
        <v>3900</v>
      </c>
      <c r="O151" s="55">
        <f t="shared" si="69"/>
        <v>88000</v>
      </c>
      <c r="P151" s="43"/>
      <c r="Q151" s="41" t="s">
        <v>376</v>
      </c>
      <c r="R151" s="10"/>
      <c r="S151" s="10">
        <f t="shared" si="70"/>
        <v>88000</v>
      </c>
      <c r="T151" s="10">
        <f t="shared" si="71"/>
        <v>125714.28571428572</v>
      </c>
      <c r="U151" s="11">
        <f t="shared" si="72"/>
        <v>143673.46938775512</v>
      </c>
      <c r="V151" s="12">
        <f t="shared" si="73"/>
        <v>0.12500000000000003</v>
      </c>
      <c r="W151" s="11">
        <f t="shared" si="74"/>
        <v>143700</v>
      </c>
      <c r="X151" s="26">
        <f t="shared" si="75"/>
        <v>0.30000000000000004</v>
      </c>
      <c r="Y151" s="13"/>
      <c r="Z151" s="13"/>
      <c r="AA151" s="13"/>
    </row>
    <row r="152" spans="1:27" ht="14.4" customHeight="1">
      <c r="A152" s="75"/>
      <c r="B152" s="46"/>
      <c r="C152" s="56" t="s">
        <v>132</v>
      </c>
      <c r="D152" s="48" t="str">
        <f t="shared" si="67"/>
        <v xml:space="preserve"> 892</v>
      </c>
      <c r="E152" s="57" t="s">
        <v>132</v>
      </c>
      <c r="F152" s="50">
        <f t="shared" si="68"/>
        <v>0</v>
      </c>
      <c r="G152" s="51" t="s">
        <v>300</v>
      </c>
      <c r="H152" s="51" t="s">
        <v>42</v>
      </c>
      <c r="I152" s="51" t="s">
        <v>333</v>
      </c>
      <c r="J152" s="52">
        <v>76500</v>
      </c>
      <c r="K152" s="61">
        <f t="shared" si="58"/>
        <v>6450</v>
      </c>
      <c r="L152" s="50" t="s">
        <v>24</v>
      </c>
      <c r="M152" s="54">
        <f t="shared" si="76"/>
        <v>70050</v>
      </c>
      <c r="N152" s="54">
        <f>2000+200+350+600+300+3000</f>
        <v>6450</v>
      </c>
      <c r="O152" s="55">
        <f t="shared" si="69"/>
        <v>76500</v>
      </c>
      <c r="P152" s="44"/>
      <c r="Q152" s="41" t="s">
        <v>377</v>
      </c>
      <c r="R152" s="10"/>
      <c r="S152" s="10">
        <f t="shared" si="70"/>
        <v>76500</v>
      </c>
      <c r="T152" s="10">
        <f t="shared" si="71"/>
        <v>109285.71428571429</v>
      </c>
      <c r="U152" s="11">
        <f t="shared" si="72"/>
        <v>124897.95918367348</v>
      </c>
      <c r="V152" s="12">
        <f t="shared" si="73"/>
        <v>0.12500000000000003</v>
      </c>
      <c r="W152" s="11">
        <f t="shared" si="74"/>
        <v>124900</v>
      </c>
      <c r="X152" s="26">
        <f t="shared" si="75"/>
        <v>0.30000000000000004</v>
      </c>
      <c r="Y152" s="13"/>
      <c r="Z152" s="13"/>
      <c r="AA152" s="14"/>
    </row>
    <row r="153" spans="1:27" ht="14.4" customHeight="1">
      <c r="A153" s="75"/>
      <c r="B153" s="46"/>
      <c r="C153" s="56" t="s">
        <v>133</v>
      </c>
      <c r="D153" s="48" t="str">
        <f t="shared" si="67"/>
        <v xml:space="preserve"> 947</v>
      </c>
      <c r="E153" s="57" t="s">
        <v>133</v>
      </c>
      <c r="F153" s="50">
        <f t="shared" si="68"/>
        <v>0</v>
      </c>
      <c r="G153" s="51" t="s">
        <v>300</v>
      </c>
      <c r="H153" s="51" t="s">
        <v>42</v>
      </c>
      <c r="I153" s="51" t="s">
        <v>333</v>
      </c>
      <c r="J153" s="52">
        <v>77000</v>
      </c>
      <c r="K153" s="61">
        <f t="shared" si="58"/>
        <v>6800</v>
      </c>
      <c r="L153" s="50" t="s">
        <v>24</v>
      </c>
      <c r="M153" s="54">
        <f t="shared" si="76"/>
        <v>70200</v>
      </c>
      <c r="N153" s="54">
        <f>2000+200+350+600+650+3000</f>
        <v>6800</v>
      </c>
      <c r="O153" s="55">
        <f t="shared" si="69"/>
        <v>77000</v>
      </c>
      <c r="P153" s="43"/>
      <c r="Q153" s="41" t="s">
        <v>375</v>
      </c>
      <c r="R153" s="10"/>
      <c r="S153" s="10">
        <f t="shared" si="70"/>
        <v>77000</v>
      </c>
      <c r="T153" s="10">
        <f t="shared" si="71"/>
        <v>110000</v>
      </c>
      <c r="U153" s="11">
        <f t="shared" si="72"/>
        <v>125714.28571428571</v>
      </c>
      <c r="V153" s="12">
        <f t="shared" si="73"/>
        <v>0.12499999999999997</v>
      </c>
      <c r="W153" s="11">
        <f t="shared" si="74"/>
        <v>125800</v>
      </c>
      <c r="X153" s="26">
        <f t="shared" si="75"/>
        <v>0.3</v>
      </c>
      <c r="Y153" s="13"/>
      <c r="Z153" s="13"/>
      <c r="AA153" s="13"/>
    </row>
    <row r="154" spans="1:27" ht="14.4" customHeight="1">
      <c r="A154" s="75"/>
      <c r="B154" s="46"/>
      <c r="C154" s="56" t="s">
        <v>134</v>
      </c>
      <c r="D154" s="48" t="str">
        <f t="shared" si="67"/>
        <v xml:space="preserve"> 718</v>
      </c>
      <c r="E154" s="57" t="s">
        <v>134</v>
      </c>
      <c r="F154" s="50">
        <f t="shared" si="68"/>
        <v>0</v>
      </c>
      <c r="G154" s="51" t="s">
        <v>300</v>
      </c>
      <c r="H154" s="51" t="s">
        <v>33</v>
      </c>
      <c r="I154" s="51" t="s">
        <v>333</v>
      </c>
      <c r="J154" s="52">
        <v>104000</v>
      </c>
      <c r="K154" s="61">
        <f t="shared" si="58"/>
        <v>3900</v>
      </c>
      <c r="L154" s="50" t="s">
        <v>24</v>
      </c>
      <c r="M154" s="54">
        <f t="shared" si="76"/>
        <v>100100</v>
      </c>
      <c r="N154" s="54">
        <f>2000+200+350+600+750</f>
        <v>3900</v>
      </c>
      <c r="O154" s="55">
        <f t="shared" si="69"/>
        <v>104000</v>
      </c>
      <c r="P154" s="44"/>
      <c r="Q154" s="41" t="s">
        <v>378</v>
      </c>
      <c r="R154" s="10"/>
      <c r="S154" s="10">
        <f t="shared" si="70"/>
        <v>104000</v>
      </c>
      <c r="T154" s="10">
        <f t="shared" si="71"/>
        <v>148571.42857142858</v>
      </c>
      <c r="U154" s="11">
        <f t="shared" si="72"/>
        <v>169795.91836734695</v>
      </c>
      <c r="V154" s="12">
        <f t="shared" si="73"/>
        <v>0.12500000000000003</v>
      </c>
      <c r="W154" s="11">
        <f t="shared" si="74"/>
        <v>169800</v>
      </c>
      <c r="X154" s="26">
        <f t="shared" si="75"/>
        <v>0.30000000000000004</v>
      </c>
      <c r="Y154" s="13"/>
      <c r="Z154" s="13"/>
      <c r="AA154" s="14"/>
    </row>
    <row r="155" spans="1:27" ht="14.4" customHeight="1">
      <c r="A155" s="75"/>
      <c r="B155" s="46"/>
      <c r="C155" s="56" t="s">
        <v>135</v>
      </c>
      <c r="D155" s="48" t="str">
        <f t="shared" si="67"/>
        <v xml:space="preserve"> 742</v>
      </c>
      <c r="E155" s="57" t="s">
        <v>135</v>
      </c>
      <c r="F155" s="50">
        <f t="shared" si="68"/>
        <v>0</v>
      </c>
      <c r="G155" s="51" t="s">
        <v>300</v>
      </c>
      <c r="H155" s="51" t="s">
        <v>33</v>
      </c>
      <c r="I155" s="51" t="s">
        <v>333</v>
      </c>
      <c r="J155" s="52">
        <v>104000</v>
      </c>
      <c r="K155" s="61">
        <f t="shared" si="58"/>
        <v>3900</v>
      </c>
      <c r="L155" s="50" t="s">
        <v>24</v>
      </c>
      <c r="M155" s="54">
        <f t="shared" si="76"/>
        <v>100100</v>
      </c>
      <c r="N155" s="54">
        <f>2000+200+350+600+750</f>
        <v>3900</v>
      </c>
      <c r="O155" s="55">
        <f t="shared" si="69"/>
        <v>104000</v>
      </c>
      <c r="P155" s="44"/>
      <c r="Q155" s="41" t="s">
        <v>378</v>
      </c>
      <c r="R155" s="10"/>
      <c r="S155" s="10">
        <f t="shared" si="70"/>
        <v>104000</v>
      </c>
      <c r="T155" s="10">
        <f t="shared" si="71"/>
        <v>148571.42857142858</v>
      </c>
      <c r="U155" s="11">
        <f t="shared" si="72"/>
        <v>169795.91836734695</v>
      </c>
      <c r="V155" s="12">
        <f t="shared" si="73"/>
        <v>0.12500000000000003</v>
      </c>
      <c r="W155" s="11">
        <f t="shared" si="74"/>
        <v>169800</v>
      </c>
      <c r="X155" s="26">
        <f t="shared" si="75"/>
        <v>0.30000000000000004</v>
      </c>
      <c r="Y155" s="13"/>
      <c r="Z155" s="13"/>
      <c r="AA155" s="14"/>
    </row>
    <row r="156" spans="1:27" ht="14.4" customHeight="1">
      <c r="A156" s="75"/>
      <c r="B156" s="46"/>
      <c r="C156" s="56" t="s">
        <v>136</v>
      </c>
      <c r="D156" s="48" t="str">
        <f t="shared" si="67"/>
        <v xml:space="preserve"> 929</v>
      </c>
      <c r="E156" s="57" t="s">
        <v>136</v>
      </c>
      <c r="F156" s="50">
        <f t="shared" si="68"/>
        <v>0</v>
      </c>
      <c r="G156" s="51" t="s">
        <v>300</v>
      </c>
      <c r="H156" s="51" t="s">
        <v>308</v>
      </c>
      <c r="I156" s="51" t="s">
        <v>333</v>
      </c>
      <c r="J156" s="52">
        <v>112000</v>
      </c>
      <c r="K156" s="61">
        <f t="shared" si="58"/>
        <v>6150</v>
      </c>
      <c r="L156" s="50" t="s">
        <v>24</v>
      </c>
      <c r="M156" s="54">
        <f t="shared" si="76"/>
        <v>105850</v>
      </c>
      <c r="N156" s="54">
        <f>2000+200+350+600+3000</f>
        <v>6150</v>
      </c>
      <c r="O156" s="55">
        <f t="shared" si="69"/>
        <v>112000</v>
      </c>
      <c r="P156" s="43"/>
      <c r="Q156" s="41" t="s">
        <v>379</v>
      </c>
      <c r="R156" s="10"/>
      <c r="S156" s="10">
        <f t="shared" si="70"/>
        <v>112000</v>
      </c>
      <c r="T156" s="10">
        <f t="shared" si="71"/>
        <v>160000</v>
      </c>
      <c r="U156" s="11">
        <f t="shared" si="72"/>
        <v>182857.14285714287</v>
      </c>
      <c r="V156" s="12">
        <f t="shared" si="73"/>
        <v>0.12500000000000006</v>
      </c>
      <c r="W156" s="11">
        <f t="shared" si="74"/>
        <v>182900</v>
      </c>
      <c r="X156" s="26">
        <f t="shared" si="75"/>
        <v>0.3</v>
      </c>
      <c r="Y156" s="13"/>
      <c r="Z156" s="13"/>
      <c r="AA156" s="13"/>
    </row>
    <row r="157" spans="1:27" ht="14.4" customHeight="1">
      <c r="A157" s="75"/>
      <c r="B157" s="46"/>
      <c r="C157" s="56" t="s">
        <v>45</v>
      </c>
      <c r="D157" s="48" t="str">
        <f t="shared" si="67"/>
        <v xml:space="preserve"> 809</v>
      </c>
      <c r="E157" s="57" t="s">
        <v>45</v>
      </c>
      <c r="F157" s="50">
        <f t="shared" si="68"/>
        <v>0</v>
      </c>
      <c r="G157" s="51" t="s">
        <v>21</v>
      </c>
      <c r="H157" s="51" t="s">
        <v>306</v>
      </c>
      <c r="I157" s="51" t="s">
        <v>333</v>
      </c>
      <c r="J157" s="52">
        <v>117500</v>
      </c>
      <c r="K157" s="53">
        <f t="shared" si="58"/>
        <v>6900</v>
      </c>
      <c r="L157" s="50" t="s">
        <v>24</v>
      </c>
      <c r="M157" s="54">
        <f t="shared" si="76"/>
        <v>110600</v>
      </c>
      <c r="N157" s="54">
        <f>2000+200+600+550+3000+550</f>
        <v>6900</v>
      </c>
      <c r="O157" s="55">
        <f t="shared" si="69"/>
        <v>117500</v>
      </c>
      <c r="P157" s="42"/>
      <c r="Q157" s="41" t="s">
        <v>380</v>
      </c>
      <c r="R157" s="10"/>
      <c r="S157" s="10">
        <f t="shared" si="70"/>
        <v>117500</v>
      </c>
      <c r="T157" s="10">
        <f t="shared" si="71"/>
        <v>167857.14285714287</v>
      </c>
      <c r="U157" s="11">
        <f t="shared" si="72"/>
        <v>191836.73469387757</v>
      </c>
      <c r="V157" s="12">
        <f t="shared" si="73"/>
        <v>0.12500000000000003</v>
      </c>
      <c r="W157" s="11">
        <f t="shared" si="74"/>
        <v>191900</v>
      </c>
      <c r="X157" s="26">
        <f t="shared" si="75"/>
        <v>0.30000000000000004</v>
      </c>
      <c r="Y157" s="36">
        <v>167913</v>
      </c>
      <c r="Z157" s="29">
        <f>T157-Y157</f>
        <v>-55.857142857130384</v>
      </c>
      <c r="AA157" s="30">
        <f>Z157/Y157</f>
        <v>-3.3265526110027444E-4</v>
      </c>
    </row>
    <row r="158" spans="1:27" ht="14.4" customHeight="1">
      <c r="A158" s="75"/>
      <c r="B158" s="46"/>
      <c r="C158" s="56" t="s">
        <v>89</v>
      </c>
      <c r="D158" s="48" t="str">
        <f t="shared" si="67"/>
        <v xml:space="preserve"> 381</v>
      </c>
      <c r="E158" s="57" t="s">
        <v>89</v>
      </c>
      <c r="F158" s="50">
        <f t="shared" si="68"/>
        <v>0</v>
      </c>
      <c r="G158" s="51" t="s">
        <v>21</v>
      </c>
      <c r="H158" s="51" t="s">
        <v>307</v>
      </c>
      <c r="I158" s="51" t="s">
        <v>333</v>
      </c>
      <c r="J158" s="52">
        <v>105000</v>
      </c>
      <c r="K158" s="61">
        <f t="shared" si="58"/>
        <v>6700</v>
      </c>
      <c r="L158" s="50" t="s">
        <v>24</v>
      </c>
      <c r="M158" s="54">
        <f t="shared" si="76"/>
        <v>98300</v>
      </c>
      <c r="N158" s="54">
        <f>2000+200+350+600+550+3000</f>
        <v>6700</v>
      </c>
      <c r="O158" s="55">
        <f t="shared" si="69"/>
        <v>105000</v>
      </c>
      <c r="P158" s="43"/>
      <c r="Q158" s="41" t="s">
        <v>381</v>
      </c>
      <c r="R158" s="10"/>
      <c r="S158" s="10">
        <f t="shared" si="70"/>
        <v>105000</v>
      </c>
      <c r="T158" s="10">
        <f t="shared" si="71"/>
        <v>150000</v>
      </c>
      <c r="U158" s="11">
        <f t="shared" si="72"/>
        <v>171428.57142857142</v>
      </c>
      <c r="V158" s="12">
        <f t="shared" si="73"/>
        <v>0.12499999999999996</v>
      </c>
      <c r="W158" s="11">
        <f t="shared" si="74"/>
        <v>171500</v>
      </c>
      <c r="X158" s="26">
        <f t="shared" si="75"/>
        <v>0.3</v>
      </c>
      <c r="Y158" s="36">
        <v>148575</v>
      </c>
      <c r="Z158" s="29">
        <f>T158-Y158</f>
        <v>1425</v>
      </c>
      <c r="AA158" s="30">
        <f>Z158/Y158</f>
        <v>9.5911155981827367E-3</v>
      </c>
    </row>
    <row r="159" spans="1:27" ht="14.4" customHeight="1">
      <c r="A159" s="75"/>
      <c r="B159" s="46"/>
      <c r="C159" s="56" t="s">
        <v>472</v>
      </c>
      <c r="D159" s="48" t="str">
        <f t="shared" si="67"/>
        <v xml:space="preserve"> 549</v>
      </c>
      <c r="E159" s="58" t="s">
        <v>472</v>
      </c>
      <c r="F159" s="50">
        <f t="shared" si="68"/>
        <v>0</v>
      </c>
      <c r="G159" s="51" t="s">
        <v>300</v>
      </c>
      <c r="H159" s="51" t="s">
        <v>475</v>
      </c>
      <c r="I159" s="51" t="s">
        <v>333</v>
      </c>
      <c r="J159" s="52">
        <v>0</v>
      </c>
      <c r="K159" s="61">
        <v>0</v>
      </c>
      <c r="L159" s="58" t="s">
        <v>473</v>
      </c>
      <c r="M159" s="54">
        <v>0</v>
      </c>
      <c r="N159" s="54">
        <v>0</v>
      </c>
      <c r="O159" s="55">
        <v>0</v>
      </c>
      <c r="P159" s="43"/>
      <c r="Q159" s="41"/>
      <c r="R159" s="10"/>
      <c r="S159" s="10"/>
      <c r="T159" s="10"/>
      <c r="U159" s="11"/>
      <c r="V159" s="12"/>
      <c r="W159" s="11"/>
      <c r="X159" s="26"/>
      <c r="Y159" s="13"/>
      <c r="Z159" s="13"/>
      <c r="AA159" s="14"/>
    </row>
    <row r="160" spans="1:27" ht="14.4" customHeight="1">
      <c r="A160" s="75"/>
      <c r="B160" s="46"/>
      <c r="C160" s="56" t="s">
        <v>474</v>
      </c>
      <c r="D160" s="48" t="str">
        <f t="shared" si="67"/>
        <v xml:space="preserve"> 933</v>
      </c>
      <c r="E160" s="58" t="s">
        <v>474</v>
      </c>
      <c r="F160" s="50">
        <f t="shared" si="68"/>
        <v>0</v>
      </c>
      <c r="G160" s="51" t="s">
        <v>21</v>
      </c>
      <c r="H160" s="51" t="s">
        <v>49</v>
      </c>
      <c r="I160" s="51" t="s">
        <v>333</v>
      </c>
      <c r="J160" s="52">
        <v>0</v>
      </c>
      <c r="K160" s="61">
        <v>0</v>
      </c>
      <c r="L160" s="58" t="s">
        <v>473</v>
      </c>
      <c r="M160" s="54">
        <v>0</v>
      </c>
      <c r="N160" s="54">
        <v>0</v>
      </c>
      <c r="O160" s="55">
        <v>0</v>
      </c>
      <c r="P160" s="43"/>
      <c r="Q160" s="41"/>
      <c r="R160" s="10"/>
      <c r="S160" s="10"/>
      <c r="T160" s="10"/>
      <c r="U160" s="11"/>
      <c r="V160" s="12"/>
      <c r="W160" s="11"/>
      <c r="X160" s="26"/>
      <c r="Y160" s="36">
        <v>0</v>
      </c>
      <c r="Z160" s="29">
        <f>T160-Y160</f>
        <v>0</v>
      </c>
      <c r="AA160" s="30" t="e">
        <f>Z160/Y160</f>
        <v>#DIV/0!</v>
      </c>
    </row>
    <row r="161" spans="1:27" ht="14.4" customHeight="1">
      <c r="A161" s="75"/>
      <c r="B161" s="46"/>
      <c r="C161" s="56" t="s">
        <v>192</v>
      </c>
      <c r="D161" s="48" t="str">
        <f t="shared" si="67"/>
        <v xml:space="preserve"> 336</v>
      </c>
      <c r="E161" s="57" t="s">
        <v>192</v>
      </c>
      <c r="F161" s="50">
        <f t="shared" si="68"/>
        <v>0</v>
      </c>
      <c r="G161" s="51" t="s">
        <v>300</v>
      </c>
      <c r="H161" s="51" t="s">
        <v>314</v>
      </c>
      <c r="I161" s="51" t="s">
        <v>348</v>
      </c>
      <c r="J161" s="52">
        <v>72500</v>
      </c>
      <c r="K161" s="61">
        <f t="shared" ref="K161:K179" si="77">J161-M161</f>
        <v>3900</v>
      </c>
      <c r="L161" s="50" t="s">
        <v>24</v>
      </c>
      <c r="M161" s="54">
        <f t="shared" ref="M161:M179" si="78">J161-N161</f>
        <v>68600</v>
      </c>
      <c r="N161" s="65">
        <f>2000+200+350+600+750</f>
        <v>3900</v>
      </c>
      <c r="O161" s="55">
        <f t="shared" ref="O161:O179" si="79">M161+N161</f>
        <v>72500</v>
      </c>
      <c r="P161" s="43"/>
      <c r="Q161" s="41" t="s">
        <v>407</v>
      </c>
      <c r="R161" s="10"/>
      <c r="S161" s="10">
        <f t="shared" ref="S161:S179" si="80">R161+O161</f>
        <v>72500</v>
      </c>
      <c r="T161" s="10">
        <f t="shared" ref="T161:T179" si="81">S161/0.7</f>
        <v>103571.42857142858</v>
      </c>
      <c r="U161" s="11">
        <f t="shared" ref="U161:U179" si="82">T161/0.875</f>
        <v>118367.34693877552</v>
      </c>
      <c r="V161" s="12">
        <f t="shared" ref="V161:V179" si="83">(U161-T161)/U161</f>
        <v>0.12499999999999999</v>
      </c>
      <c r="W161" s="11">
        <f t="shared" ref="W161:W179" si="84">(ROUNDUP((U161/100),0))*100</f>
        <v>118400</v>
      </c>
      <c r="X161" s="26">
        <f t="shared" ref="X161:X179" si="85">(T161-O161)/T161</f>
        <v>0.30000000000000004</v>
      </c>
      <c r="Y161" s="13"/>
      <c r="Z161" s="13"/>
      <c r="AA161" s="14"/>
    </row>
    <row r="162" spans="1:27" ht="14.4" customHeight="1">
      <c r="A162" s="75"/>
      <c r="B162" s="46"/>
      <c r="C162" s="56" t="s">
        <v>193</v>
      </c>
      <c r="D162" s="48" t="str">
        <f t="shared" si="67"/>
        <v xml:space="preserve"> 987</v>
      </c>
      <c r="E162" s="57" t="s">
        <v>193</v>
      </c>
      <c r="F162" s="50">
        <f t="shared" si="68"/>
        <v>0</v>
      </c>
      <c r="G162" s="51" t="s">
        <v>300</v>
      </c>
      <c r="H162" s="51" t="s">
        <v>314</v>
      </c>
      <c r="I162" s="51" t="s">
        <v>348</v>
      </c>
      <c r="J162" s="52">
        <v>72000</v>
      </c>
      <c r="K162" s="61">
        <f t="shared" si="77"/>
        <v>3900</v>
      </c>
      <c r="L162" s="50" t="s">
        <v>24</v>
      </c>
      <c r="M162" s="54">
        <f t="shared" si="78"/>
        <v>68100</v>
      </c>
      <c r="N162" s="65">
        <f>2000+200+350+600+750</f>
        <v>3900</v>
      </c>
      <c r="O162" s="55">
        <f t="shared" si="79"/>
        <v>72000</v>
      </c>
      <c r="P162" s="43"/>
      <c r="Q162" s="41" t="s">
        <v>407</v>
      </c>
      <c r="R162" s="10"/>
      <c r="S162" s="10">
        <f t="shared" si="80"/>
        <v>72000</v>
      </c>
      <c r="T162" s="10">
        <f t="shared" si="81"/>
        <v>102857.14285714287</v>
      </c>
      <c r="U162" s="11">
        <f t="shared" si="82"/>
        <v>117551.02040816328</v>
      </c>
      <c r="V162" s="12">
        <f t="shared" si="83"/>
        <v>0.12500000000000003</v>
      </c>
      <c r="W162" s="11">
        <f t="shared" si="84"/>
        <v>117600</v>
      </c>
      <c r="X162" s="26">
        <f t="shared" si="85"/>
        <v>0.3000000000000001</v>
      </c>
      <c r="Y162" s="13"/>
      <c r="Z162" s="13"/>
      <c r="AA162" s="13"/>
    </row>
    <row r="163" spans="1:27" ht="14.4" customHeight="1">
      <c r="A163" s="75"/>
      <c r="B163" s="46"/>
      <c r="C163" s="56" t="s">
        <v>221</v>
      </c>
      <c r="D163" s="48" t="str">
        <f t="shared" si="67"/>
        <v xml:space="preserve"> 579</v>
      </c>
      <c r="E163" s="57" t="s">
        <v>221</v>
      </c>
      <c r="F163" s="50">
        <f t="shared" si="68"/>
        <v>0</v>
      </c>
      <c r="G163" s="51" t="s">
        <v>300</v>
      </c>
      <c r="H163" s="51" t="s">
        <v>46</v>
      </c>
      <c r="I163" s="51" t="s">
        <v>356</v>
      </c>
      <c r="J163" s="52">
        <v>105000</v>
      </c>
      <c r="K163" s="61">
        <f t="shared" si="77"/>
        <v>6450</v>
      </c>
      <c r="L163" s="50" t="s">
        <v>24</v>
      </c>
      <c r="M163" s="54">
        <f t="shared" si="78"/>
        <v>98550</v>
      </c>
      <c r="N163" s="65">
        <f>2000+200+350+600+300+3000</f>
        <v>6450</v>
      </c>
      <c r="O163" s="55">
        <f t="shared" si="79"/>
        <v>105000</v>
      </c>
      <c r="P163" s="43"/>
      <c r="Q163" s="41" t="s">
        <v>423</v>
      </c>
      <c r="R163" s="10"/>
      <c r="S163" s="10">
        <f t="shared" si="80"/>
        <v>105000</v>
      </c>
      <c r="T163" s="10">
        <f t="shared" si="81"/>
        <v>150000</v>
      </c>
      <c r="U163" s="11">
        <f t="shared" si="82"/>
        <v>171428.57142857142</v>
      </c>
      <c r="V163" s="12">
        <f t="shared" si="83"/>
        <v>0.12499999999999996</v>
      </c>
      <c r="W163" s="11">
        <f t="shared" si="84"/>
        <v>171500</v>
      </c>
      <c r="X163" s="26">
        <f t="shared" si="85"/>
        <v>0.3</v>
      </c>
      <c r="Y163" s="13"/>
      <c r="Z163" s="13"/>
      <c r="AA163" s="14"/>
    </row>
    <row r="164" spans="1:27" ht="14.4" customHeight="1">
      <c r="A164" s="75"/>
      <c r="B164" s="46"/>
      <c r="C164" s="56" t="s">
        <v>94</v>
      </c>
      <c r="D164" s="48" t="str">
        <f t="shared" si="67"/>
        <v xml:space="preserve"> 401</v>
      </c>
      <c r="E164" s="57" t="s">
        <v>94</v>
      </c>
      <c r="F164" s="50">
        <f t="shared" si="68"/>
        <v>0</v>
      </c>
      <c r="G164" s="51" t="s">
        <v>21</v>
      </c>
      <c r="H164" s="51" t="s">
        <v>322</v>
      </c>
      <c r="I164" s="51" t="s">
        <v>356</v>
      </c>
      <c r="J164" s="52">
        <v>126750</v>
      </c>
      <c r="K164" s="61">
        <f t="shared" si="77"/>
        <v>6750</v>
      </c>
      <c r="L164" s="50" t="s">
        <v>24</v>
      </c>
      <c r="M164" s="54">
        <f t="shared" si="78"/>
        <v>120000</v>
      </c>
      <c r="N164" s="65">
        <f>2000+200+350+600+3600</f>
        <v>6750</v>
      </c>
      <c r="O164" s="55">
        <f t="shared" si="79"/>
        <v>126750</v>
      </c>
      <c r="P164" s="43"/>
      <c r="Q164" s="41" t="s">
        <v>424</v>
      </c>
      <c r="R164" s="10"/>
      <c r="S164" s="10">
        <f t="shared" si="80"/>
        <v>126750</v>
      </c>
      <c r="T164" s="10">
        <f t="shared" si="81"/>
        <v>181071.42857142858</v>
      </c>
      <c r="U164" s="11">
        <f t="shared" si="82"/>
        <v>206938.77551020408</v>
      </c>
      <c r="V164" s="12">
        <f t="shared" si="83"/>
        <v>0.12499999999999996</v>
      </c>
      <c r="W164" s="11">
        <f t="shared" si="84"/>
        <v>207000</v>
      </c>
      <c r="X164" s="26">
        <f t="shared" si="85"/>
        <v>0.30000000000000004</v>
      </c>
      <c r="Y164" s="36">
        <v>178938</v>
      </c>
      <c r="Z164" s="29">
        <f>T164-Y164</f>
        <v>2133.4285714285797</v>
      </c>
      <c r="AA164" s="30">
        <f>Z164/Y164</f>
        <v>1.1922725030058343E-2</v>
      </c>
    </row>
    <row r="165" spans="1:27" ht="14.4" customHeight="1">
      <c r="A165" s="75"/>
      <c r="B165" s="46"/>
      <c r="C165" s="56" t="s">
        <v>222</v>
      </c>
      <c r="D165" s="48" t="str">
        <f t="shared" si="67"/>
        <v xml:space="preserve"> 588</v>
      </c>
      <c r="E165" s="57" t="s">
        <v>222</v>
      </c>
      <c r="F165" s="50">
        <f t="shared" si="68"/>
        <v>0</v>
      </c>
      <c r="G165" s="51" t="s">
        <v>300</v>
      </c>
      <c r="H165" s="51" t="s">
        <v>306</v>
      </c>
      <c r="I165" s="51" t="s">
        <v>356</v>
      </c>
      <c r="J165" s="52">
        <v>100000</v>
      </c>
      <c r="K165" s="61">
        <f t="shared" si="77"/>
        <v>6800</v>
      </c>
      <c r="L165" s="50" t="s">
        <v>24</v>
      </c>
      <c r="M165" s="54">
        <f t="shared" si="78"/>
        <v>93200</v>
      </c>
      <c r="N165" s="65">
        <f>2000+200+350+600+650+3000</f>
        <v>6800</v>
      </c>
      <c r="O165" s="55">
        <f t="shared" si="79"/>
        <v>100000</v>
      </c>
      <c r="P165" s="44"/>
      <c r="Q165" s="41" t="s">
        <v>425</v>
      </c>
      <c r="R165" s="10"/>
      <c r="S165" s="10">
        <f t="shared" si="80"/>
        <v>100000</v>
      </c>
      <c r="T165" s="10">
        <f t="shared" si="81"/>
        <v>142857.14285714287</v>
      </c>
      <c r="U165" s="11">
        <f t="shared" si="82"/>
        <v>163265.30612244899</v>
      </c>
      <c r="V165" s="12">
        <f t="shared" si="83"/>
        <v>0.125</v>
      </c>
      <c r="W165" s="11">
        <f t="shared" si="84"/>
        <v>163300</v>
      </c>
      <c r="X165" s="26">
        <f t="shared" si="85"/>
        <v>0.30000000000000004</v>
      </c>
      <c r="Y165" s="13"/>
      <c r="Z165" s="13"/>
      <c r="AA165" s="14"/>
    </row>
    <row r="166" spans="1:27" ht="14.4" customHeight="1">
      <c r="A166" s="75"/>
      <c r="B166" s="46"/>
      <c r="C166" s="56" t="s">
        <v>223</v>
      </c>
      <c r="D166" s="48" t="str">
        <f t="shared" si="67"/>
        <v xml:space="preserve"> 405</v>
      </c>
      <c r="E166" s="57" t="s">
        <v>223</v>
      </c>
      <c r="F166" s="50">
        <f t="shared" si="68"/>
        <v>0</v>
      </c>
      <c r="G166" s="51" t="s">
        <v>300</v>
      </c>
      <c r="H166" s="51" t="s">
        <v>46</v>
      </c>
      <c r="I166" s="51" t="s">
        <v>356</v>
      </c>
      <c r="J166" s="52">
        <v>107500</v>
      </c>
      <c r="K166" s="61">
        <f t="shared" si="77"/>
        <v>6450</v>
      </c>
      <c r="L166" s="50" t="s">
        <v>24</v>
      </c>
      <c r="M166" s="54">
        <f t="shared" si="78"/>
        <v>101050</v>
      </c>
      <c r="N166" s="65">
        <f>2000+200+350+600+300+3000</f>
        <v>6450</v>
      </c>
      <c r="O166" s="55">
        <f t="shared" si="79"/>
        <v>107500</v>
      </c>
      <c r="P166" s="44"/>
      <c r="Q166" s="41" t="s">
        <v>423</v>
      </c>
      <c r="R166" s="10"/>
      <c r="S166" s="10">
        <f t="shared" si="80"/>
        <v>107500</v>
      </c>
      <c r="T166" s="10">
        <f t="shared" si="81"/>
        <v>153571.42857142858</v>
      </c>
      <c r="U166" s="11">
        <f t="shared" si="82"/>
        <v>175510.20408163266</v>
      </c>
      <c r="V166" s="12">
        <f t="shared" si="83"/>
        <v>0.125</v>
      </c>
      <c r="W166" s="11">
        <f t="shared" si="84"/>
        <v>175600</v>
      </c>
      <c r="X166" s="26">
        <f t="shared" si="85"/>
        <v>0.30000000000000004</v>
      </c>
      <c r="Y166" s="13"/>
      <c r="Z166" s="13"/>
      <c r="AA166" s="14"/>
    </row>
    <row r="167" spans="1:27" ht="14.4" customHeight="1">
      <c r="A167" s="75"/>
      <c r="B167" s="46"/>
      <c r="C167" s="56" t="s">
        <v>224</v>
      </c>
      <c r="D167" s="48" t="str">
        <f t="shared" si="67"/>
        <v xml:space="preserve"> 704</v>
      </c>
      <c r="E167" s="57" t="s">
        <v>224</v>
      </c>
      <c r="F167" s="50">
        <f t="shared" si="68"/>
        <v>0</v>
      </c>
      <c r="G167" s="51" t="s">
        <v>300</v>
      </c>
      <c r="H167" s="51" t="s">
        <v>46</v>
      </c>
      <c r="I167" s="51" t="s">
        <v>356</v>
      </c>
      <c r="J167" s="52">
        <v>101000</v>
      </c>
      <c r="K167" s="61">
        <f t="shared" si="77"/>
        <v>6450</v>
      </c>
      <c r="L167" s="50" t="s">
        <v>24</v>
      </c>
      <c r="M167" s="54">
        <f t="shared" si="78"/>
        <v>94550</v>
      </c>
      <c r="N167" s="65">
        <f>2000+200+350+600+300+3000</f>
        <v>6450</v>
      </c>
      <c r="O167" s="55">
        <f t="shared" si="79"/>
        <v>101000</v>
      </c>
      <c r="P167" s="44"/>
      <c r="Q167" s="41" t="s">
        <v>423</v>
      </c>
      <c r="R167" s="10"/>
      <c r="S167" s="10">
        <f t="shared" si="80"/>
        <v>101000</v>
      </c>
      <c r="T167" s="10">
        <f t="shared" si="81"/>
        <v>144285.71428571429</v>
      </c>
      <c r="U167" s="11">
        <f t="shared" si="82"/>
        <v>164897.95918367346</v>
      </c>
      <c r="V167" s="12">
        <f t="shared" si="83"/>
        <v>0.12499999999999993</v>
      </c>
      <c r="W167" s="11">
        <f t="shared" si="84"/>
        <v>164900</v>
      </c>
      <c r="X167" s="26">
        <f t="shared" si="85"/>
        <v>0.30000000000000004</v>
      </c>
      <c r="Y167" s="13"/>
      <c r="Z167" s="13"/>
      <c r="AA167" s="14"/>
    </row>
    <row r="168" spans="1:27" ht="14.4" customHeight="1">
      <c r="A168" s="75"/>
      <c r="B168" s="46"/>
      <c r="C168" s="56" t="s">
        <v>225</v>
      </c>
      <c r="D168" s="48" t="str">
        <f t="shared" si="67"/>
        <v xml:space="preserve"> 835</v>
      </c>
      <c r="E168" s="57" t="s">
        <v>225</v>
      </c>
      <c r="F168" s="50">
        <f t="shared" si="68"/>
        <v>0</v>
      </c>
      <c r="G168" s="51" t="s">
        <v>300</v>
      </c>
      <c r="H168" s="51" t="s">
        <v>46</v>
      </c>
      <c r="I168" s="51" t="s">
        <v>356</v>
      </c>
      <c r="J168" s="52">
        <v>105000</v>
      </c>
      <c r="K168" s="61">
        <f t="shared" si="77"/>
        <v>6450</v>
      </c>
      <c r="L168" s="50" t="s">
        <v>24</v>
      </c>
      <c r="M168" s="54">
        <f t="shared" si="78"/>
        <v>98550</v>
      </c>
      <c r="N168" s="65">
        <f>2000+200+350+600+300+3000</f>
        <v>6450</v>
      </c>
      <c r="O168" s="55">
        <f t="shared" si="79"/>
        <v>105000</v>
      </c>
      <c r="P168" s="44"/>
      <c r="Q168" s="41" t="s">
        <v>423</v>
      </c>
      <c r="R168" s="10"/>
      <c r="S168" s="10">
        <f t="shared" si="80"/>
        <v>105000</v>
      </c>
      <c r="T168" s="10">
        <f t="shared" si="81"/>
        <v>150000</v>
      </c>
      <c r="U168" s="11">
        <f t="shared" si="82"/>
        <v>171428.57142857142</v>
      </c>
      <c r="V168" s="12">
        <f t="shared" si="83"/>
        <v>0.12499999999999996</v>
      </c>
      <c r="W168" s="11">
        <f t="shared" si="84"/>
        <v>171500</v>
      </c>
      <c r="X168" s="26">
        <f t="shared" si="85"/>
        <v>0.3</v>
      </c>
      <c r="Y168" s="13"/>
      <c r="Z168" s="13"/>
      <c r="AA168" s="14"/>
    </row>
    <row r="169" spans="1:27" ht="14.4" customHeight="1">
      <c r="A169" s="75"/>
      <c r="B169" s="46"/>
      <c r="C169" s="56" t="s">
        <v>201</v>
      </c>
      <c r="D169" s="48" t="str">
        <f t="shared" si="67"/>
        <v xml:space="preserve"> 950</v>
      </c>
      <c r="E169" s="57" t="s">
        <v>201</v>
      </c>
      <c r="F169" s="50">
        <f t="shared" si="68"/>
        <v>0</v>
      </c>
      <c r="G169" s="51" t="s">
        <v>300</v>
      </c>
      <c r="H169" s="51" t="s">
        <v>51</v>
      </c>
      <c r="I169" s="51" t="s">
        <v>352</v>
      </c>
      <c r="J169" s="52">
        <v>70000</v>
      </c>
      <c r="K169" s="61">
        <f t="shared" si="77"/>
        <v>7500</v>
      </c>
      <c r="L169" s="50" t="s">
        <v>24</v>
      </c>
      <c r="M169" s="54">
        <f t="shared" si="78"/>
        <v>62500</v>
      </c>
      <c r="N169" s="65">
        <f t="shared" ref="N169:N174" si="86">2000+300+600+1000+3600</f>
        <v>7500</v>
      </c>
      <c r="O169" s="55">
        <f t="shared" si="79"/>
        <v>70000</v>
      </c>
      <c r="P169" s="43"/>
      <c r="Q169" s="41" t="s">
        <v>415</v>
      </c>
      <c r="R169" s="10"/>
      <c r="S169" s="10">
        <f t="shared" si="80"/>
        <v>70000</v>
      </c>
      <c r="T169" s="10">
        <f t="shared" si="81"/>
        <v>100000</v>
      </c>
      <c r="U169" s="11">
        <f t="shared" si="82"/>
        <v>114285.71428571429</v>
      </c>
      <c r="V169" s="12">
        <f t="shared" si="83"/>
        <v>0.12500000000000003</v>
      </c>
      <c r="W169" s="11">
        <f t="shared" si="84"/>
        <v>114300</v>
      </c>
      <c r="X169" s="26">
        <f t="shared" si="85"/>
        <v>0.3</v>
      </c>
      <c r="Y169" s="13"/>
      <c r="Z169" s="13"/>
      <c r="AA169" s="14"/>
    </row>
    <row r="170" spans="1:27" ht="14.4" customHeight="1">
      <c r="A170" s="75"/>
      <c r="B170" s="46"/>
      <c r="C170" s="56" t="s">
        <v>202</v>
      </c>
      <c r="D170" s="48" t="str">
        <f t="shared" si="67"/>
        <v xml:space="preserve"> 319</v>
      </c>
      <c r="E170" s="57" t="s">
        <v>202</v>
      </c>
      <c r="F170" s="50">
        <f t="shared" si="68"/>
        <v>0</v>
      </c>
      <c r="G170" s="51" t="s">
        <v>300</v>
      </c>
      <c r="H170" s="51" t="s">
        <v>51</v>
      </c>
      <c r="I170" s="51" t="s">
        <v>352</v>
      </c>
      <c r="J170" s="52">
        <v>67500</v>
      </c>
      <c r="K170" s="61">
        <f t="shared" si="77"/>
        <v>7500</v>
      </c>
      <c r="L170" s="50" t="s">
        <v>24</v>
      </c>
      <c r="M170" s="54">
        <f t="shared" si="78"/>
        <v>60000</v>
      </c>
      <c r="N170" s="65">
        <f t="shared" si="86"/>
        <v>7500</v>
      </c>
      <c r="O170" s="55">
        <f t="shared" si="79"/>
        <v>67500</v>
      </c>
      <c r="P170" s="43"/>
      <c r="Q170" s="41" t="s">
        <v>415</v>
      </c>
      <c r="R170" s="10"/>
      <c r="S170" s="10">
        <f t="shared" si="80"/>
        <v>67500</v>
      </c>
      <c r="T170" s="10">
        <f t="shared" si="81"/>
        <v>96428.571428571435</v>
      </c>
      <c r="U170" s="11">
        <f t="shared" si="82"/>
        <v>110204.08163265306</v>
      </c>
      <c r="V170" s="12">
        <f t="shared" si="83"/>
        <v>0.12499999999999994</v>
      </c>
      <c r="W170" s="11">
        <f t="shared" si="84"/>
        <v>110300</v>
      </c>
      <c r="X170" s="26">
        <f t="shared" si="85"/>
        <v>0.30000000000000004</v>
      </c>
      <c r="Y170" s="13"/>
      <c r="Z170" s="13"/>
      <c r="AA170" s="14"/>
    </row>
    <row r="171" spans="1:27" ht="14.4" customHeight="1">
      <c r="A171" s="75"/>
      <c r="B171" s="46"/>
      <c r="C171" s="56" t="s">
        <v>203</v>
      </c>
      <c r="D171" s="48" t="str">
        <f t="shared" si="67"/>
        <v xml:space="preserve"> 807</v>
      </c>
      <c r="E171" s="57" t="s">
        <v>203</v>
      </c>
      <c r="F171" s="50">
        <f t="shared" si="68"/>
        <v>0</v>
      </c>
      <c r="G171" s="51" t="s">
        <v>300</v>
      </c>
      <c r="H171" s="51" t="s">
        <v>51</v>
      </c>
      <c r="I171" s="51" t="s">
        <v>352</v>
      </c>
      <c r="J171" s="52">
        <v>70000</v>
      </c>
      <c r="K171" s="61">
        <f t="shared" si="77"/>
        <v>7500</v>
      </c>
      <c r="L171" s="50" t="s">
        <v>24</v>
      </c>
      <c r="M171" s="54">
        <f t="shared" si="78"/>
        <v>62500</v>
      </c>
      <c r="N171" s="65">
        <f t="shared" si="86"/>
        <v>7500</v>
      </c>
      <c r="O171" s="55">
        <f t="shared" si="79"/>
        <v>70000</v>
      </c>
      <c r="P171" s="43"/>
      <c r="Q171" s="41" t="s">
        <v>415</v>
      </c>
      <c r="R171" s="10"/>
      <c r="S171" s="10">
        <f t="shared" si="80"/>
        <v>70000</v>
      </c>
      <c r="T171" s="10">
        <f t="shared" si="81"/>
        <v>100000</v>
      </c>
      <c r="U171" s="11">
        <f t="shared" si="82"/>
        <v>114285.71428571429</v>
      </c>
      <c r="V171" s="12">
        <f t="shared" si="83"/>
        <v>0.12500000000000003</v>
      </c>
      <c r="W171" s="11">
        <f t="shared" si="84"/>
        <v>114300</v>
      </c>
      <c r="X171" s="26">
        <f t="shared" si="85"/>
        <v>0.3</v>
      </c>
      <c r="Y171" s="13"/>
      <c r="Z171" s="13"/>
      <c r="AA171" s="14"/>
    </row>
    <row r="172" spans="1:27" ht="14.4" customHeight="1">
      <c r="A172" s="75"/>
      <c r="B172" s="46"/>
      <c r="C172" s="56" t="s">
        <v>204</v>
      </c>
      <c r="D172" s="48" t="str">
        <f t="shared" si="67"/>
        <v xml:space="preserve"> 113</v>
      </c>
      <c r="E172" s="57" t="s">
        <v>204</v>
      </c>
      <c r="F172" s="50">
        <f t="shared" si="68"/>
        <v>0</v>
      </c>
      <c r="G172" s="51" t="s">
        <v>300</v>
      </c>
      <c r="H172" s="51" t="s">
        <v>51</v>
      </c>
      <c r="I172" s="51" t="s">
        <v>352</v>
      </c>
      <c r="J172" s="52">
        <v>70000</v>
      </c>
      <c r="K172" s="61">
        <f t="shared" si="77"/>
        <v>7500</v>
      </c>
      <c r="L172" s="50" t="s">
        <v>24</v>
      </c>
      <c r="M172" s="54">
        <f t="shared" si="78"/>
        <v>62500</v>
      </c>
      <c r="N172" s="65">
        <f t="shared" si="86"/>
        <v>7500</v>
      </c>
      <c r="O172" s="55">
        <f t="shared" si="79"/>
        <v>70000</v>
      </c>
      <c r="P172" s="43"/>
      <c r="Q172" s="41" t="s">
        <v>415</v>
      </c>
      <c r="R172" s="10"/>
      <c r="S172" s="10">
        <f t="shared" si="80"/>
        <v>70000</v>
      </c>
      <c r="T172" s="10">
        <f t="shared" si="81"/>
        <v>100000</v>
      </c>
      <c r="U172" s="11">
        <f t="shared" si="82"/>
        <v>114285.71428571429</v>
      </c>
      <c r="V172" s="12">
        <f t="shared" si="83"/>
        <v>0.12500000000000003</v>
      </c>
      <c r="W172" s="11">
        <f t="shared" si="84"/>
        <v>114300</v>
      </c>
      <c r="X172" s="26">
        <f t="shared" si="85"/>
        <v>0.3</v>
      </c>
      <c r="Y172" s="37"/>
      <c r="Z172" s="13"/>
      <c r="AA172" s="14"/>
    </row>
    <row r="173" spans="1:27" ht="14.4" customHeight="1">
      <c r="A173" s="75"/>
      <c r="B173" s="46"/>
      <c r="C173" s="56" t="s">
        <v>205</v>
      </c>
      <c r="D173" s="48" t="str">
        <f t="shared" si="67"/>
        <v xml:space="preserve"> 226</v>
      </c>
      <c r="E173" s="57" t="s">
        <v>205</v>
      </c>
      <c r="F173" s="50">
        <f t="shared" si="68"/>
        <v>0</v>
      </c>
      <c r="G173" s="51" t="s">
        <v>300</v>
      </c>
      <c r="H173" s="51" t="s">
        <v>51</v>
      </c>
      <c r="I173" s="51" t="s">
        <v>352</v>
      </c>
      <c r="J173" s="52">
        <v>70000</v>
      </c>
      <c r="K173" s="61">
        <f t="shared" si="77"/>
        <v>7500</v>
      </c>
      <c r="L173" s="50" t="s">
        <v>24</v>
      </c>
      <c r="M173" s="54">
        <f t="shared" si="78"/>
        <v>62500</v>
      </c>
      <c r="N173" s="65">
        <f t="shared" si="86"/>
        <v>7500</v>
      </c>
      <c r="O173" s="55">
        <f t="shared" si="79"/>
        <v>70000</v>
      </c>
      <c r="P173" s="43"/>
      <c r="Q173" s="41" t="s">
        <v>415</v>
      </c>
      <c r="R173" s="10"/>
      <c r="S173" s="10">
        <f t="shared" si="80"/>
        <v>70000</v>
      </c>
      <c r="T173" s="10">
        <f t="shared" si="81"/>
        <v>100000</v>
      </c>
      <c r="U173" s="11">
        <f t="shared" si="82"/>
        <v>114285.71428571429</v>
      </c>
      <c r="V173" s="12">
        <f t="shared" si="83"/>
        <v>0.12500000000000003</v>
      </c>
      <c r="W173" s="11">
        <f t="shared" si="84"/>
        <v>114300</v>
      </c>
      <c r="X173" s="26">
        <f t="shared" si="85"/>
        <v>0.3</v>
      </c>
      <c r="Y173" s="13"/>
      <c r="Z173" s="13"/>
      <c r="AA173" s="13"/>
    </row>
    <row r="174" spans="1:27" ht="14.4" customHeight="1">
      <c r="A174" s="75"/>
      <c r="B174" s="46"/>
      <c r="C174" s="56" t="s">
        <v>206</v>
      </c>
      <c r="D174" s="48" t="str">
        <f t="shared" si="67"/>
        <v xml:space="preserve"> 849</v>
      </c>
      <c r="E174" s="57" t="s">
        <v>206</v>
      </c>
      <c r="F174" s="50">
        <f t="shared" si="68"/>
        <v>0</v>
      </c>
      <c r="G174" s="51" t="s">
        <v>300</v>
      </c>
      <c r="H174" s="51" t="s">
        <v>51</v>
      </c>
      <c r="I174" s="51" t="s">
        <v>352</v>
      </c>
      <c r="J174" s="52">
        <v>70000</v>
      </c>
      <c r="K174" s="61">
        <f t="shared" si="77"/>
        <v>7500</v>
      </c>
      <c r="L174" s="50" t="s">
        <v>24</v>
      </c>
      <c r="M174" s="54">
        <f t="shared" si="78"/>
        <v>62500</v>
      </c>
      <c r="N174" s="65">
        <f t="shared" si="86"/>
        <v>7500</v>
      </c>
      <c r="O174" s="66">
        <f t="shared" si="79"/>
        <v>70000</v>
      </c>
      <c r="P174" s="45"/>
      <c r="Q174" s="41" t="s">
        <v>415</v>
      </c>
      <c r="R174" s="10"/>
      <c r="S174" s="10">
        <f t="shared" si="80"/>
        <v>70000</v>
      </c>
      <c r="T174" s="10">
        <f t="shared" si="81"/>
        <v>100000</v>
      </c>
      <c r="U174" s="11">
        <f t="shared" si="82"/>
        <v>114285.71428571429</v>
      </c>
      <c r="V174" s="12">
        <f t="shared" si="83"/>
        <v>0.12500000000000003</v>
      </c>
      <c r="W174" s="11">
        <f t="shared" si="84"/>
        <v>114300</v>
      </c>
      <c r="X174" s="26">
        <f t="shared" si="85"/>
        <v>0.3</v>
      </c>
      <c r="Y174" s="13"/>
      <c r="Z174" s="13"/>
      <c r="AA174" s="14"/>
    </row>
    <row r="175" spans="1:27" ht="14.4" customHeight="1">
      <c r="A175" s="75"/>
      <c r="B175" s="46"/>
      <c r="C175" s="56" t="s">
        <v>207</v>
      </c>
      <c r="D175" s="48" t="str">
        <f t="shared" si="67"/>
        <v xml:space="preserve"> 573</v>
      </c>
      <c r="E175" s="57" t="s">
        <v>207</v>
      </c>
      <c r="F175" s="50">
        <f t="shared" si="68"/>
        <v>0</v>
      </c>
      <c r="G175" s="51" t="s">
        <v>300</v>
      </c>
      <c r="H175" s="51" t="s">
        <v>320</v>
      </c>
      <c r="I175" s="51" t="s">
        <v>353</v>
      </c>
      <c r="J175" s="52">
        <v>206000</v>
      </c>
      <c r="K175" s="61">
        <f t="shared" si="77"/>
        <v>6000</v>
      </c>
      <c r="L175" s="50" t="s">
        <v>24</v>
      </c>
      <c r="M175" s="54">
        <f t="shared" si="78"/>
        <v>200000</v>
      </c>
      <c r="N175" s="65">
        <f>2000+200+200+600+3000</f>
        <v>6000</v>
      </c>
      <c r="O175" s="66">
        <f t="shared" si="79"/>
        <v>206000</v>
      </c>
      <c r="P175" s="45"/>
      <c r="Q175" s="41" t="s">
        <v>416</v>
      </c>
      <c r="R175" s="10"/>
      <c r="S175" s="10">
        <f t="shared" si="80"/>
        <v>206000</v>
      </c>
      <c r="T175" s="10">
        <f t="shared" si="81"/>
        <v>294285.71428571432</v>
      </c>
      <c r="U175" s="11">
        <f t="shared" si="82"/>
        <v>336326.53061224491</v>
      </c>
      <c r="V175" s="12">
        <f t="shared" si="83"/>
        <v>0.12499999999999993</v>
      </c>
      <c r="W175" s="11">
        <f t="shared" si="84"/>
        <v>336400</v>
      </c>
      <c r="X175" s="26">
        <f t="shared" si="85"/>
        <v>0.3000000000000001</v>
      </c>
      <c r="Y175" s="13"/>
      <c r="Z175" s="13"/>
      <c r="AA175" s="13"/>
    </row>
    <row r="176" spans="1:27" ht="14.4" customHeight="1">
      <c r="A176" s="75"/>
      <c r="B176" s="46"/>
      <c r="C176" s="56" t="s">
        <v>208</v>
      </c>
      <c r="D176" s="48" t="str">
        <f t="shared" si="67"/>
        <v xml:space="preserve"> 902</v>
      </c>
      <c r="E176" s="57" t="s">
        <v>208</v>
      </c>
      <c r="F176" s="50">
        <f t="shared" si="68"/>
        <v>0</v>
      </c>
      <c r="G176" s="51" t="s">
        <v>300</v>
      </c>
      <c r="H176" s="51" t="s">
        <v>320</v>
      </c>
      <c r="I176" s="51" t="s">
        <v>353</v>
      </c>
      <c r="J176" s="52">
        <v>244000</v>
      </c>
      <c r="K176" s="61">
        <f t="shared" si="77"/>
        <v>6000</v>
      </c>
      <c r="L176" s="50" t="s">
        <v>24</v>
      </c>
      <c r="M176" s="54">
        <f t="shared" si="78"/>
        <v>238000</v>
      </c>
      <c r="N176" s="65">
        <f>2000+200+200+600+3000</f>
        <v>6000</v>
      </c>
      <c r="O176" s="55">
        <f t="shared" si="79"/>
        <v>244000</v>
      </c>
      <c r="P176" s="43"/>
      <c r="Q176" s="41" t="s">
        <v>416</v>
      </c>
      <c r="R176" s="10"/>
      <c r="S176" s="10">
        <f t="shared" si="80"/>
        <v>244000</v>
      </c>
      <c r="T176" s="10">
        <f t="shared" si="81"/>
        <v>348571.42857142858</v>
      </c>
      <c r="U176" s="11">
        <f t="shared" si="82"/>
        <v>398367.3469387755</v>
      </c>
      <c r="V176" s="12">
        <f t="shared" si="83"/>
        <v>0.12499999999999996</v>
      </c>
      <c r="W176" s="11">
        <f t="shared" si="84"/>
        <v>398400</v>
      </c>
      <c r="X176" s="26">
        <f t="shared" si="85"/>
        <v>0.30000000000000004</v>
      </c>
      <c r="Y176" s="13"/>
      <c r="Z176" s="13"/>
      <c r="AA176" s="13"/>
    </row>
    <row r="177" spans="1:27" ht="14.4" customHeight="1">
      <c r="A177" s="75"/>
      <c r="B177" s="46"/>
      <c r="C177" s="56" t="s">
        <v>25</v>
      </c>
      <c r="D177" s="48" t="str">
        <f t="shared" si="67"/>
        <v xml:space="preserve"> 899</v>
      </c>
      <c r="E177" s="57" t="s">
        <v>25</v>
      </c>
      <c r="F177" s="50">
        <f t="shared" si="68"/>
        <v>0</v>
      </c>
      <c r="G177" s="51" t="s">
        <v>21</v>
      </c>
      <c r="H177" s="51" t="s">
        <v>320</v>
      </c>
      <c r="I177" s="51" t="s">
        <v>353</v>
      </c>
      <c r="J177" s="52">
        <v>140000</v>
      </c>
      <c r="K177" s="61">
        <f t="shared" si="77"/>
        <v>6000</v>
      </c>
      <c r="L177" s="50" t="s">
        <v>24</v>
      </c>
      <c r="M177" s="54">
        <f t="shared" si="78"/>
        <v>134000</v>
      </c>
      <c r="N177" s="65">
        <f>2000+200+200+600+3000</f>
        <v>6000</v>
      </c>
      <c r="O177" s="55">
        <f t="shared" si="79"/>
        <v>140000</v>
      </c>
      <c r="P177" s="43"/>
      <c r="Q177" s="41" t="s">
        <v>416</v>
      </c>
      <c r="R177" s="10"/>
      <c r="S177" s="10">
        <f t="shared" si="80"/>
        <v>140000</v>
      </c>
      <c r="T177" s="10">
        <f t="shared" si="81"/>
        <v>200000</v>
      </c>
      <c r="U177" s="11">
        <f t="shared" si="82"/>
        <v>228571.42857142858</v>
      </c>
      <c r="V177" s="12">
        <f t="shared" si="83"/>
        <v>0.12500000000000003</v>
      </c>
      <c r="W177" s="11">
        <f t="shared" si="84"/>
        <v>228600</v>
      </c>
      <c r="X177" s="26">
        <f t="shared" si="85"/>
        <v>0.3</v>
      </c>
      <c r="Y177" s="36">
        <v>192150</v>
      </c>
      <c r="Z177" s="29">
        <f>T177-Y177</f>
        <v>7850</v>
      </c>
      <c r="AA177" s="30">
        <f>Z177/Y177</f>
        <v>4.0853499869893312E-2</v>
      </c>
    </row>
    <row r="178" spans="1:27" ht="14.4" customHeight="1">
      <c r="A178" s="75"/>
      <c r="B178" s="46"/>
      <c r="C178" s="56" t="s">
        <v>28</v>
      </c>
      <c r="D178" s="48" t="str">
        <f t="shared" si="67"/>
        <v xml:space="preserve"> 923</v>
      </c>
      <c r="E178" s="57" t="s">
        <v>28</v>
      </c>
      <c r="F178" s="50">
        <f t="shared" si="68"/>
        <v>0</v>
      </c>
      <c r="G178" s="51" t="s">
        <v>21</v>
      </c>
      <c r="H178" s="51" t="s">
        <v>320</v>
      </c>
      <c r="I178" s="51" t="s">
        <v>353</v>
      </c>
      <c r="J178" s="52">
        <v>90000</v>
      </c>
      <c r="K178" s="61">
        <f t="shared" si="77"/>
        <v>3750</v>
      </c>
      <c r="L178" s="50" t="s">
        <v>24</v>
      </c>
      <c r="M178" s="54">
        <f t="shared" si="78"/>
        <v>86250</v>
      </c>
      <c r="N178" s="65">
        <f>2000+200+200+600+750</f>
        <v>3750</v>
      </c>
      <c r="O178" s="55">
        <f t="shared" si="79"/>
        <v>90000</v>
      </c>
      <c r="P178" s="44"/>
      <c r="Q178" s="41" t="s">
        <v>417</v>
      </c>
      <c r="R178" s="10"/>
      <c r="S178" s="10">
        <f t="shared" si="80"/>
        <v>90000</v>
      </c>
      <c r="T178" s="10">
        <f t="shared" si="81"/>
        <v>128571.42857142858</v>
      </c>
      <c r="U178" s="11">
        <f t="shared" si="82"/>
        <v>146938.77551020408</v>
      </c>
      <c r="V178" s="12">
        <f t="shared" si="83"/>
        <v>0.12499999999999994</v>
      </c>
      <c r="W178" s="11">
        <f t="shared" si="84"/>
        <v>147000</v>
      </c>
      <c r="X178" s="26">
        <f t="shared" si="85"/>
        <v>0.30000000000000004</v>
      </c>
      <c r="Y178" s="36">
        <v>107188</v>
      </c>
      <c r="Z178" s="29">
        <f>T178-Y178</f>
        <v>21383.42857142858</v>
      </c>
      <c r="AA178" s="30">
        <f>Z178/Y178</f>
        <v>0.19949461293641621</v>
      </c>
    </row>
    <row r="179" spans="1:27" ht="14.4" customHeight="1">
      <c r="A179" s="75"/>
      <c r="B179" s="46"/>
      <c r="C179" s="56" t="s">
        <v>209</v>
      </c>
      <c r="D179" s="48" t="str">
        <f t="shared" si="67"/>
        <v xml:space="preserve"> 666</v>
      </c>
      <c r="E179" s="57" t="s">
        <v>209</v>
      </c>
      <c r="F179" s="50">
        <f t="shared" si="68"/>
        <v>0</v>
      </c>
      <c r="G179" s="51" t="s">
        <v>300</v>
      </c>
      <c r="H179" s="51" t="s">
        <v>320</v>
      </c>
      <c r="I179" s="51" t="s">
        <v>353</v>
      </c>
      <c r="J179" s="52">
        <v>214000</v>
      </c>
      <c r="K179" s="61">
        <f t="shared" si="77"/>
        <v>6000</v>
      </c>
      <c r="L179" s="50" t="s">
        <v>24</v>
      </c>
      <c r="M179" s="54">
        <f t="shared" si="78"/>
        <v>208000</v>
      </c>
      <c r="N179" s="65">
        <f>2000+200+200+600+3000</f>
        <v>6000</v>
      </c>
      <c r="O179" s="55">
        <f t="shared" si="79"/>
        <v>214000</v>
      </c>
      <c r="P179" s="43"/>
      <c r="Q179" s="41" t="s">
        <v>416</v>
      </c>
      <c r="R179" s="10"/>
      <c r="S179" s="10">
        <f t="shared" si="80"/>
        <v>214000</v>
      </c>
      <c r="T179" s="10">
        <f t="shared" si="81"/>
        <v>305714.28571428574</v>
      </c>
      <c r="U179" s="11">
        <f t="shared" si="82"/>
        <v>349387.75510204083</v>
      </c>
      <c r="V179" s="12">
        <f t="shared" si="83"/>
        <v>0.12499999999999996</v>
      </c>
      <c r="W179" s="11">
        <f t="shared" si="84"/>
        <v>349400</v>
      </c>
      <c r="X179" s="26">
        <f t="shared" si="85"/>
        <v>0.30000000000000004</v>
      </c>
      <c r="Y179" s="13"/>
      <c r="Z179" s="13"/>
      <c r="AA179" s="13"/>
    </row>
    <row r="180" spans="1:27" ht="14.4" customHeight="1">
      <c r="A180" s="75"/>
      <c r="B180" s="46"/>
      <c r="C180" s="56" t="s">
        <v>477</v>
      </c>
      <c r="D180" s="48" t="str">
        <f t="shared" si="67"/>
        <v xml:space="preserve"> 832</v>
      </c>
      <c r="E180" s="58" t="s">
        <v>477</v>
      </c>
      <c r="F180" s="50">
        <f t="shared" si="68"/>
        <v>0</v>
      </c>
      <c r="G180" s="51" t="s">
        <v>300</v>
      </c>
      <c r="H180" s="51" t="s">
        <v>320</v>
      </c>
      <c r="I180" s="51" t="s">
        <v>353</v>
      </c>
      <c r="J180" s="52"/>
      <c r="K180" s="61"/>
      <c r="L180" s="50"/>
      <c r="M180" s="54"/>
      <c r="N180" s="65"/>
      <c r="O180" s="55"/>
      <c r="P180" s="43"/>
      <c r="Q180" s="41"/>
      <c r="R180" s="10"/>
      <c r="S180" s="10"/>
      <c r="T180" s="10"/>
      <c r="U180" s="11"/>
      <c r="V180" s="12"/>
      <c r="W180" s="11"/>
      <c r="X180" s="26"/>
      <c r="Y180" s="13"/>
      <c r="Z180" s="13"/>
      <c r="AA180" s="13"/>
    </row>
    <row r="181" spans="1:27" ht="14.4" customHeight="1">
      <c r="A181" s="75"/>
      <c r="B181" s="46"/>
      <c r="C181" s="56" t="s">
        <v>71</v>
      </c>
      <c r="D181" s="48" t="str">
        <f t="shared" si="67"/>
        <v xml:space="preserve"> 777</v>
      </c>
      <c r="E181" s="57" t="s">
        <v>71</v>
      </c>
      <c r="F181" s="50">
        <f t="shared" si="68"/>
        <v>0</v>
      </c>
      <c r="G181" s="51" t="s">
        <v>21</v>
      </c>
      <c r="H181" s="51" t="s">
        <v>309</v>
      </c>
      <c r="I181" s="51" t="s">
        <v>359</v>
      </c>
      <c r="J181" s="52">
        <v>54150</v>
      </c>
      <c r="K181" s="61">
        <f t="shared" ref="K181:K206" si="87">J181-M181</f>
        <v>6650</v>
      </c>
      <c r="L181" s="50" t="s">
        <v>24</v>
      </c>
      <c r="M181" s="54">
        <f t="shared" ref="M181:M206" si="88">J181-N181</f>
        <v>47500</v>
      </c>
      <c r="N181" s="65">
        <f>2000+200+250+600+3600</f>
        <v>6650</v>
      </c>
      <c r="O181" s="55">
        <f t="shared" ref="O181:O206" si="89">M181+N181</f>
        <v>54150</v>
      </c>
      <c r="P181" s="44"/>
      <c r="Q181" s="41" t="s">
        <v>400</v>
      </c>
      <c r="R181" s="10"/>
      <c r="S181" s="10">
        <f t="shared" ref="S181:S206" si="90">R181+O181</f>
        <v>54150</v>
      </c>
      <c r="T181" s="10">
        <f t="shared" ref="T181:T206" si="91">S181/0.7</f>
        <v>77357.142857142855</v>
      </c>
      <c r="U181" s="11">
        <f t="shared" ref="U181:U206" si="92">T181/0.875</f>
        <v>88408.163265306124</v>
      </c>
      <c r="V181" s="12">
        <f t="shared" ref="V181:V206" si="93">(U181-T181)/U181</f>
        <v>0.12500000000000003</v>
      </c>
      <c r="W181" s="11">
        <f t="shared" ref="W181:W206" si="94">(ROUNDUP((U181/100),0))*100</f>
        <v>88500</v>
      </c>
      <c r="X181" s="26">
        <f t="shared" ref="X181:X206" si="95">(T181-O181)/T181</f>
        <v>0.3</v>
      </c>
      <c r="Y181" s="36">
        <v>76738</v>
      </c>
      <c r="Z181" s="29">
        <f>T181-Y181</f>
        <v>619.14285714285506</v>
      </c>
      <c r="AA181" s="30">
        <f>Z181/Y181</f>
        <v>8.0682693990311843E-3</v>
      </c>
    </row>
    <row r="182" spans="1:27" ht="14.4" customHeight="1">
      <c r="A182" s="75"/>
      <c r="B182" s="46"/>
      <c r="C182" s="56" t="s">
        <v>230</v>
      </c>
      <c r="D182" s="48" t="str">
        <f t="shared" si="67"/>
        <v xml:space="preserve"> 308</v>
      </c>
      <c r="E182" s="57" t="s">
        <v>230</v>
      </c>
      <c r="F182" s="50">
        <f t="shared" si="68"/>
        <v>0</v>
      </c>
      <c r="G182" s="51" t="s">
        <v>300</v>
      </c>
      <c r="H182" s="51" t="s">
        <v>309</v>
      </c>
      <c r="I182" s="51" t="s">
        <v>359</v>
      </c>
      <c r="J182" s="52">
        <v>52650</v>
      </c>
      <c r="K182" s="61">
        <f t="shared" si="87"/>
        <v>6650</v>
      </c>
      <c r="L182" s="50" t="s">
        <v>24</v>
      </c>
      <c r="M182" s="54">
        <f t="shared" si="88"/>
        <v>46000</v>
      </c>
      <c r="N182" s="65">
        <f>2000+200+250+600+3600</f>
        <v>6650</v>
      </c>
      <c r="O182" s="55">
        <f t="shared" si="89"/>
        <v>52650</v>
      </c>
      <c r="P182" s="44"/>
      <c r="Q182" s="41" t="s">
        <v>400</v>
      </c>
      <c r="R182" s="10"/>
      <c r="S182" s="10">
        <f t="shared" si="90"/>
        <v>52650</v>
      </c>
      <c r="T182" s="10">
        <f t="shared" si="91"/>
        <v>75214.285714285725</v>
      </c>
      <c r="U182" s="11">
        <f t="shared" si="92"/>
        <v>85959.183673469393</v>
      </c>
      <c r="V182" s="12">
        <f t="shared" si="93"/>
        <v>0.12499999999999993</v>
      </c>
      <c r="W182" s="11">
        <f t="shared" si="94"/>
        <v>86000</v>
      </c>
      <c r="X182" s="26">
        <f t="shared" si="95"/>
        <v>0.3000000000000001</v>
      </c>
      <c r="Y182" s="13"/>
      <c r="Z182" s="13"/>
      <c r="AA182" s="14"/>
    </row>
    <row r="183" spans="1:27" ht="14.4" customHeight="1">
      <c r="A183" s="75"/>
      <c r="B183" s="46"/>
      <c r="C183" s="56" t="s">
        <v>72</v>
      </c>
      <c r="D183" s="48" t="str">
        <f t="shared" si="67"/>
        <v xml:space="preserve"> 786</v>
      </c>
      <c r="E183" s="57" t="s">
        <v>72</v>
      </c>
      <c r="F183" s="50">
        <f t="shared" si="68"/>
        <v>0</v>
      </c>
      <c r="G183" s="51" t="s">
        <v>21</v>
      </c>
      <c r="H183" s="51" t="s">
        <v>309</v>
      </c>
      <c r="I183" s="51" t="s">
        <v>359</v>
      </c>
      <c r="J183" s="52">
        <v>51650</v>
      </c>
      <c r="K183" s="61">
        <f t="shared" si="87"/>
        <v>6650</v>
      </c>
      <c r="L183" s="50" t="s">
        <v>24</v>
      </c>
      <c r="M183" s="54">
        <f t="shared" si="88"/>
        <v>45000</v>
      </c>
      <c r="N183" s="65">
        <f>2000+200+250+600+3600</f>
        <v>6650</v>
      </c>
      <c r="O183" s="55">
        <f t="shared" si="89"/>
        <v>51650</v>
      </c>
      <c r="P183" s="43"/>
      <c r="Q183" s="41" t="s">
        <v>400</v>
      </c>
      <c r="R183" s="10"/>
      <c r="S183" s="10">
        <f t="shared" si="90"/>
        <v>51650</v>
      </c>
      <c r="T183" s="10">
        <f t="shared" si="91"/>
        <v>73785.71428571429</v>
      </c>
      <c r="U183" s="11">
        <f t="shared" si="92"/>
        <v>84326.530612244896</v>
      </c>
      <c r="V183" s="12">
        <f t="shared" si="93"/>
        <v>0.12499999999999993</v>
      </c>
      <c r="W183" s="11">
        <f t="shared" si="94"/>
        <v>84400</v>
      </c>
      <c r="X183" s="26">
        <f t="shared" si="95"/>
        <v>0.30000000000000004</v>
      </c>
      <c r="Y183" s="36">
        <v>78225</v>
      </c>
      <c r="Z183" s="29">
        <f>T183-Y183</f>
        <v>-4439.2857142857101</v>
      </c>
      <c r="AA183" s="30">
        <f>Z183/Y183</f>
        <v>-5.6750216865269543E-2</v>
      </c>
    </row>
    <row r="184" spans="1:27" ht="14.4" customHeight="1">
      <c r="A184" s="75"/>
      <c r="B184" s="46"/>
      <c r="C184" s="56" t="s">
        <v>231</v>
      </c>
      <c r="D184" s="48" t="str">
        <f t="shared" si="67"/>
        <v xml:space="preserve"> 363</v>
      </c>
      <c r="E184" s="57" t="s">
        <v>231</v>
      </c>
      <c r="F184" s="50">
        <f t="shared" si="68"/>
        <v>0</v>
      </c>
      <c r="G184" s="51" t="s">
        <v>300</v>
      </c>
      <c r="H184" s="51" t="s">
        <v>309</v>
      </c>
      <c r="I184" s="51" t="s">
        <v>359</v>
      </c>
      <c r="J184" s="52">
        <v>55550</v>
      </c>
      <c r="K184" s="61">
        <f t="shared" si="87"/>
        <v>6050</v>
      </c>
      <c r="L184" s="50" t="s">
        <v>24</v>
      </c>
      <c r="M184" s="54">
        <f t="shared" si="88"/>
        <v>49500</v>
      </c>
      <c r="N184" s="65">
        <f>2000+200+250+600+3000</f>
        <v>6050</v>
      </c>
      <c r="O184" s="55">
        <f t="shared" si="89"/>
        <v>55550</v>
      </c>
      <c r="P184" s="43"/>
      <c r="Q184" s="41" t="s">
        <v>402</v>
      </c>
      <c r="R184" s="10"/>
      <c r="S184" s="10">
        <f t="shared" si="90"/>
        <v>55550</v>
      </c>
      <c r="T184" s="10">
        <f t="shared" si="91"/>
        <v>79357.142857142855</v>
      </c>
      <c r="U184" s="11">
        <f t="shared" si="92"/>
        <v>90693.8775510204</v>
      </c>
      <c r="V184" s="12">
        <f t="shared" si="93"/>
        <v>0.12499999999999994</v>
      </c>
      <c r="W184" s="11">
        <f t="shared" si="94"/>
        <v>90700</v>
      </c>
      <c r="X184" s="26">
        <f t="shared" si="95"/>
        <v>0.3</v>
      </c>
      <c r="Y184" s="13"/>
      <c r="Z184" s="13"/>
      <c r="AA184" s="13"/>
    </row>
    <row r="185" spans="1:27" ht="14.4" customHeight="1">
      <c r="A185" s="75"/>
      <c r="B185" s="46"/>
      <c r="C185" s="56" t="s">
        <v>232</v>
      </c>
      <c r="D185" s="48" t="str">
        <f t="shared" si="67"/>
        <v xml:space="preserve"> 804</v>
      </c>
      <c r="E185" s="57" t="s">
        <v>232</v>
      </c>
      <c r="F185" s="50">
        <f t="shared" si="68"/>
        <v>0</v>
      </c>
      <c r="G185" s="51" t="s">
        <v>300</v>
      </c>
      <c r="H185" s="51" t="s">
        <v>309</v>
      </c>
      <c r="I185" s="51" t="s">
        <v>359</v>
      </c>
      <c r="J185" s="52">
        <v>55650</v>
      </c>
      <c r="K185" s="61">
        <f t="shared" si="87"/>
        <v>6650</v>
      </c>
      <c r="L185" s="50" t="s">
        <v>24</v>
      </c>
      <c r="M185" s="54">
        <f t="shared" si="88"/>
        <v>49000</v>
      </c>
      <c r="N185" s="65">
        <f>2000+200+250+600+3600</f>
        <v>6650</v>
      </c>
      <c r="O185" s="55">
        <f t="shared" si="89"/>
        <v>55650</v>
      </c>
      <c r="P185" s="43"/>
      <c r="Q185" s="41" t="s">
        <v>400</v>
      </c>
      <c r="R185" s="10"/>
      <c r="S185" s="10">
        <f t="shared" si="90"/>
        <v>55650</v>
      </c>
      <c r="T185" s="10">
        <f t="shared" si="91"/>
        <v>79500</v>
      </c>
      <c r="U185" s="11">
        <f t="shared" si="92"/>
        <v>90857.142857142855</v>
      </c>
      <c r="V185" s="12">
        <f t="shared" si="93"/>
        <v>0.12499999999999999</v>
      </c>
      <c r="W185" s="11">
        <f t="shared" si="94"/>
        <v>90900</v>
      </c>
      <c r="X185" s="26">
        <f t="shared" si="95"/>
        <v>0.3</v>
      </c>
      <c r="Y185" s="13"/>
      <c r="Z185" s="13"/>
      <c r="AA185" s="14"/>
    </row>
    <row r="186" spans="1:27" ht="14.4" customHeight="1">
      <c r="A186" s="75"/>
      <c r="B186" s="46"/>
      <c r="C186" s="56" t="s">
        <v>233</v>
      </c>
      <c r="D186" s="48" t="str">
        <f t="shared" si="67"/>
        <v xml:space="preserve"> 458</v>
      </c>
      <c r="E186" s="57" t="s">
        <v>233</v>
      </c>
      <c r="F186" s="50">
        <f t="shared" si="68"/>
        <v>0</v>
      </c>
      <c r="G186" s="51" t="s">
        <v>300</v>
      </c>
      <c r="H186" s="51" t="s">
        <v>309</v>
      </c>
      <c r="I186" s="51" t="s">
        <v>359</v>
      </c>
      <c r="J186" s="52">
        <v>46650</v>
      </c>
      <c r="K186" s="61">
        <f t="shared" si="87"/>
        <v>6650</v>
      </c>
      <c r="L186" s="50" t="s">
        <v>24</v>
      </c>
      <c r="M186" s="54">
        <f t="shared" si="88"/>
        <v>40000</v>
      </c>
      <c r="N186" s="65">
        <f>2000+200+250+600+3600</f>
        <v>6650</v>
      </c>
      <c r="O186" s="55">
        <f t="shared" si="89"/>
        <v>46650</v>
      </c>
      <c r="P186" s="43"/>
      <c r="Q186" s="41" t="s">
        <v>400</v>
      </c>
      <c r="R186" s="10"/>
      <c r="S186" s="10">
        <f t="shared" si="90"/>
        <v>46650</v>
      </c>
      <c r="T186" s="10">
        <f t="shared" si="91"/>
        <v>66642.857142857145</v>
      </c>
      <c r="U186" s="11">
        <f t="shared" si="92"/>
        <v>76163.265306122456</v>
      </c>
      <c r="V186" s="12">
        <f t="shared" si="93"/>
        <v>0.12500000000000006</v>
      </c>
      <c r="W186" s="11">
        <f t="shared" si="94"/>
        <v>76200</v>
      </c>
      <c r="X186" s="26">
        <f t="shared" si="95"/>
        <v>0.30000000000000004</v>
      </c>
      <c r="Y186" s="13"/>
      <c r="Z186" s="13"/>
      <c r="AA186" s="14"/>
    </row>
    <row r="187" spans="1:27" ht="14.4" customHeight="1">
      <c r="A187" s="75"/>
      <c r="B187" s="46"/>
      <c r="C187" s="56" t="s">
        <v>177</v>
      </c>
      <c r="D187" s="48" t="str">
        <f t="shared" si="67"/>
        <v xml:space="preserve"> 938</v>
      </c>
      <c r="E187" s="57" t="s">
        <v>177</v>
      </c>
      <c r="F187" s="50">
        <f t="shared" si="68"/>
        <v>0</v>
      </c>
      <c r="G187" s="51" t="s">
        <v>300</v>
      </c>
      <c r="H187" s="51" t="s">
        <v>314</v>
      </c>
      <c r="I187" s="51" t="s">
        <v>344</v>
      </c>
      <c r="J187" s="52">
        <v>65000</v>
      </c>
      <c r="K187" s="61">
        <f t="shared" si="87"/>
        <v>3900</v>
      </c>
      <c r="L187" s="50" t="s">
        <v>24</v>
      </c>
      <c r="M187" s="54">
        <f t="shared" si="88"/>
        <v>61100</v>
      </c>
      <c r="N187" s="54">
        <f>2000+200+350+600+750</f>
        <v>3900</v>
      </c>
      <c r="O187" s="55">
        <f t="shared" si="89"/>
        <v>65000</v>
      </c>
      <c r="P187" s="43"/>
      <c r="Q187" s="41" t="s">
        <v>401</v>
      </c>
      <c r="R187" s="10"/>
      <c r="S187" s="10">
        <f t="shared" si="90"/>
        <v>65000</v>
      </c>
      <c r="T187" s="10">
        <f t="shared" si="91"/>
        <v>92857.14285714287</v>
      </c>
      <c r="U187" s="11">
        <f t="shared" si="92"/>
        <v>106122.44897959185</v>
      </c>
      <c r="V187" s="12">
        <f t="shared" si="93"/>
        <v>0.12499999999999999</v>
      </c>
      <c r="W187" s="11">
        <f t="shared" si="94"/>
        <v>106200</v>
      </c>
      <c r="X187" s="26">
        <f t="shared" si="95"/>
        <v>0.3000000000000001</v>
      </c>
      <c r="Y187" s="13"/>
      <c r="Z187" s="13"/>
      <c r="AA187" s="14"/>
    </row>
    <row r="188" spans="1:27" ht="14.4" customHeight="1">
      <c r="A188" s="75"/>
      <c r="B188" s="46"/>
      <c r="C188" s="56" t="s">
        <v>178</v>
      </c>
      <c r="D188" s="48" t="str">
        <f t="shared" si="67"/>
        <v xml:space="preserve"> 794</v>
      </c>
      <c r="E188" s="57" t="s">
        <v>178</v>
      </c>
      <c r="F188" s="50">
        <f t="shared" si="68"/>
        <v>0</v>
      </c>
      <c r="G188" s="51" t="s">
        <v>300</v>
      </c>
      <c r="H188" s="51" t="s">
        <v>31</v>
      </c>
      <c r="I188" s="51" t="s">
        <v>344</v>
      </c>
      <c r="J188" s="52">
        <v>128000</v>
      </c>
      <c r="K188" s="61">
        <f t="shared" si="87"/>
        <v>6150</v>
      </c>
      <c r="L188" s="50" t="s">
        <v>24</v>
      </c>
      <c r="M188" s="54">
        <f t="shared" si="88"/>
        <v>121850</v>
      </c>
      <c r="N188" s="54">
        <f>2000+200+350+600+3000</f>
        <v>6150</v>
      </c>
      <c r="O188" s="55">
        <f t="shared" si="89"/>
        <v>128000</v>
      </c>
      <c r="P188" s="43"/>
      <c r="Q188" s="41" t="s">
        <v>402</v>
      </c>
      <c r="R188" s="10"/>
      <c r="S188" s="10">
        <f t="shared" si="90"/>
        <v>128000</v>
      </c>
      <c r="T188" s="10">
        <f t="shared" si="91"/>
        <v>182857.14285714287</v>
      </c>
      <c r="U188" s="11">
        <f t="shared" si="92"/>
        <v>208979.5918367347</v>
      </c>
      <c r="V188" s="12">
        <f t="shared" si="93"/>
        <v>0.12499999999999999</v>
      </c>
      <c r="W188" s="11">
        <f t="shared" si="94"/>
        <v>209000</v>
      </c>
      <c r="X188" s="26">
        <f t="shared" si="95"/>
        <v>0.30000000000000004</v>
      </c>
      <c r="Y188" s="13"/>
      <c r="Z188" s="13"/>
      <c r="AA188" s="14"/>
    </row>
    <row r="189" spans="1:27" ht="14.4" customHeight="1">
      <c r="A189" s="75"/>
      <c r="B189" s="46"/>
      <c r="C189" s="56" t="s">
        <v>179</v>
      </c>
      <c r="D189" s="48" t="str">
        <f t="shared" si="67"/>
        <v xml:space="preserve"> 170</v>
      </c>
      <c r="E189" s="57" t="s">
        <v>179</v>
      </c>
      <c r="F189" s="50">
        <f t="shared" si="68"/>
        <v>0</v>
      </c>
      <c r="G189" s="51" t="s">
        <v>300</v>
      </c>
      <c r="H189" s="51" t="s">
        <v>35</v>
      </c>
      <c r="I189" s="51" t="s">
        <v>344</v>
      </c>
      <c r="J189" s="52">
        <v>94000</v>
      </c>
      <c r="K189" s="61">
        <f t="shared" si="87"/>
        <v>4600</v>
      </c>
      <c r="L189" s="50" t="s">
        <v>24</v>
      </c>
      <c r="M189" s="54">
        <f t="shared" si="88"/>
        <v>89400</v>
      </c>
      <c r="N189" s="54">
        <f>2000+200+600+650+750+400</f>
        <v>4600</v>
      </c>
      <c r="O189" s="55">
        <f t="shared" si="89"/>
        <v>94000</v>
      </c>
      <c r="P189" s="43"/>
      <c r="Q189" s="41" t="s">
        <v>403</v>
      </c>
      <c r="R189" s="10"/>
      <c r="S189" s="10">
        <f t="shared" si="90"/>
        <v>94000</v>
      </c>
      <c r="T189" s="10">
        <f t="shared" si="91"/>
        <v>134285.71428571429</v>
      </c>
      <c r="U189" s="11">
        <f t="shared" si="92"/>
        <v>153469.38775510204</v>
      </c>
      <c r="V189" s="12">
        <f t="shared" si="93"/>
        <v>0.12499999999999997</v>
      </c>
      <c r="W189" s="11">
        <f t="shared" si="94"/>
        <v>153500</v>
      </c>
      <c r="X189" s="26">
        <f t="shared" si="95"/>
        <v>0.30000000000000004</v>
      </c>
      <c r="Y189" s="13"/>
      <c r="Z189" s="13"/>
      <c r="AA189" s="13"/>
    </row>
    <row r="190" spans="1:27" ht="14.4" customHeight="1">
      <c r="A190" s="75"/>
      <c r="B190" s="46"/>
      <c r="C190" s="56" t="s">
        <v>180</v>
      </c>
      <c r="D190" s="48" t="str">
        <f t="shared" si="67"/>
        <v xml:space="preserve"> 305</v>
      </c>
      <c r="E190" s="57" t="s">
        <v>180</v>
      </c>
      <c r="F190" s="50">
        <f t="shared" si="68"/>
        <v>0</v>
      </c>
      <c r="G190" s="51" t="s">
        <v>300</v>
      </c>
      <c r="H190" s="51" t="s">
        <v>33</v>
      </c>
      <c r="I190" s="51" t="s">
        <v>344</v>
      </c>
      <c r="J190" s="52">
        <v>98000</v>
      </c>
      <c r="K190" s="61">
        <f t="shared" si="87"/>
        <v>7150</v>
      </c>
      <c r="L190" s="50" t="s">
        <v>24</v>
      </c>
      <c r="M190" s="54">
        <f t="shared" si="88"/>
        <v>90850</v>
      </c>
      <c r="N190" s="54">
        <f>2000+200+350+600+1000+3000</f>
        <v>7150</v>
      </c>
      <c r="O190" s="55">
        <f t="shared" si="89"/>
        <v>98000</v>
      </c>
      <c r="P190" s="43"/>
      <c r="Q190" s="41" t="s">
        <v>404</v>
      </c>
      <c r="R190" s="10"/>
      <c r="S190" s="10">
        <f t="shared" si="90"/>
        <v>98000</v>
      </c>
      <c r="T190" s="10">
        <f t="shared" si="91"/>
        <v>140000</v>
      </c>
      <c r="U190" s="11">
        <f t="shared" si="92"/>
        <v>160000</v>
      </c>
      <c r="V190" s="12">
        <f t="shared" si="93"/>
        <v>0.125</v>
      </c>
      <c r="W190" s="11">
        <f t="shared" si="94"/>
        <v>160000</v>
      </c>
      <c r="X190" s="26">
        <f t="shared" si="95"/>
        <v>0.3</v>
      </c>
      <c r="Y190" s="13"/>
      <c r="Z190" s="13"/>
      <c r="AA190" s="13"/>
    </row>
    <row r="191" spans="1:27" ht="14.4" customHeight="1">
      <c r="A191" s="75"/>
      <c r="B191" s="46"/>
      <c r="C191" s="56" t="s">
        <v>181</v>
      </c>
      <c r="D191" s="48" t="str">
        <f t="shared" si="67"/>
        <v xml:space="preserve"> 928</v>
      </c>
      <c r="E191" s="57" t="s">
        <v>181</v>
      </c>
      <c r="F191" s="50">
        <f t="shared" si="68"/>
        <v>0</v>
      </c>
      <c r="G191" s="51" t="s">
        <v>300</v>
      </c>
      <c r="H191" s="51" t="s">
        <v>33</v>
      </c>
      <c r="I191" s="51" t="s">
        <v>344</v>
      </c>
      <c r="J191" s="52">
        <v>98000</v>
      </c>
      <c r="K191" s="61">
        <f t="shared" si="87"/>
        <v>7150</v>
      </c>
      <c r="L191" s="50" t="s">
        <v>24</v>
      </c>
      <c r="M191" s="54">
        <f t="shared" si="88"/>
        <v>90850</v>
      </c>
      <c r="N191" s="54">
        <f>2000+200+350+600+1000+3000</f>
        <v>7150</v>
      </c>
      <c r="O191" s="55">
        <f t="shared" si="89"/>
        <v>98000</v>
      </c>
      <c r="P191" s="43"/>
      <c r="Q191" s="41" t="s">
        <v>404</v>
      </c>
      <c r="R191" s="10"/>
      <c r="S191" s="10">
        <f t="shared" si="90"/>
        <v>98000</v>
      </c>
      <c r="T191" s="10">
        <f t="shared" si="91"/>
        <v>140000</v>
      </c>
      <c r="U191" s="11">
        <f t="shared" si="92"/>
        <v>160000</v>
      </c>
      <c r="V191" s="12">
        <f t="shared" si="93"/>
        <v>0.125</v>
      </c>
      <c r="W191" s="11">
        <f t="shared" si="94"/>
        <v>160000</v>
      </c>
      <c r="X191" s="26">
        <f t="shared" si="95"/>
        <v>0.3</v>
      </c>
      <c r="Y191" s="13"/>
      <c r="Z191" s="13"/>
      <c r="AA191" s="13"/>
    </row>
    <row r="192" spans="1:27" ht="14.4" customHeight="1">
      <c r="A192" s="75"/>
      <c r="B192" s="46"/>
      <c r="C192" s="56" t="s">
        <v>194</v>
      </c>
      <c r="D192" s="48" t="str">
        <f t="shared" si="67"/>
        <v xml:space="preserve"> 681</v>
      </c>
      <c r="E192" s="57" t="s">
        <v>194</v>
      </c>
      <c r="F192" s="50">
        <f t="shared" si="68"/>
        <v>0</v>
      </c>
      <c r="G192" s="51" t="s">
        <v>300</v>
      </c>
      <c r="H192" s="51" t="s">
        <v>51</v>
      </c>
      <c r="I192" s="51" t="s">
        <v>349</v>
      </c>
      <c r="J192" s="52">
        <v>44000</v>
      </c>
      <c r="K192" s="61">
        <f t="shared" si="87"/>
        <v>6400</v>
      </c>
      <c r="L192" s="50" t="s">
        <v>24</v>
      </c>
      <c r="M192" s="54">
        <f t="shared" si="88"/>
        <v>37600</v>
      </c>
      <c r="N192" s="65">
        <v>6400</v>
      </c>
      <c r="O192" s="55">
        <f t="shared" si="89"/>
        <v>44000</v>
      </c>
      <c r="P192" s="43"/>
      <c r="Q192" s="41" t="s">
        <v>409</v>
      </c>
      <c r="R192" s="10"/>
      <c r="S192" s="10">
        <f t="shared" si="90"/>
        <v>44000</v>
      </c>
      <c r="T192" s="10">
        <f t="shared" si="91"/>
        <v>62857.142857142862</v>
      </c>
      <c r="U192" s="11">
        <f t="shared" si="92"/>
        <v>71836.734693877559</v>
      </c>
      <c r="V192" s="12">
        <f t="shared" si="93"/>
        <v>0.12500000000000003</v>
      </c>
      <c r="W192" s="11">
        <f t="shared" si="94"/>
        <v>71900</v>
      </c>
      <c r="X192" s="26">
        <f t="shared" si="95"/>
        <v>0.30000000000000004</v>
      </c>
      <c r="Y192" s="13"/>
      <c r="Z192" s="13"/>
      <c r="AA192" s="13"/>
    </row>
    <row r="193" spans="1:27" ht="14.4" customHeight="1">
      <c r="A193" s="75"/>
      <c r="B193" s="46"/>
      <c r="C193" s="56" t="s">
        <v>195</v>
      </c>
      <c r="D193" s="48" t="str">
        <f t="shared" si="67"/>
        <v xml:space="preserve"> 295</v>
      </c>
      <c r="E193" s="57" t="s">
        <v>195</v>
      </c>
      <c r="F193" s="50">
        <f t="shared" si="68"/>
        <v>0</v>
      </c>
      <c r="G193" s="51" t="s">
        <v>300</v>
      </c>
      <c r="H193" s="51" t="s">
        <v>51</v>
      </c>
      <c r="I193" s="51" t="s">
        <v>349</v>
      </c>
      <c r="J193" s="52">
        <v>87000</v>
      </c>
      <c r="K193" s="61">
        <f t="shared" si="87"/>
        <v>7500</v>
      </c>
      <c r="L193" s="50" t="s">
        <v>24</v>
      </c>
      <c r="M193" s="54">
        <f t="shared" si="88"/>
        <v>79500</v>
      </c>
      <c r="N193" s="65">
        <f>2000+300+600+1000+3600</f>
        <v>7500</v>
      </c>
      <c r="O193" s="55">
        <f t="shared" si="89"/>
        <v>87000</v>
      </c>
      <c r="P193" s="43"/>
      <c r="Q193" s="41" t="s">
        <v>410</v>
      </c>
      <c r="R193" s="10"/>
      <c r="S193" s="10">
        <f t="shared" si="90"/>
        <v>87000</v>
      </c>
      <c r="T193" s="10">
        <f t="shared" si="91"/>
        <v>124285.71428571429</v>
      </c>
      <c r="U193" s="11">
        <f t="shared" si="92"/>
        <v>142040.81632653062</v>
      </c>
      <c r="V193" s="12">
        <f t="shared" si="93"/>
        <v>0.12500000000000003</v>
      </c>
      <c r="W193" s="11">
        <f t="shared" si="94"/>
        <v>142100</v>
      </c>
      <c r="X193" s="26">
        <f t="shared" si="95"/>
        <v>0.30000000000000004</v>
      </c>
      <c r="Y193" s="13"/>
      <c r="Z193" s="13"/>
      <c r="AA193" s="14"/>
    </row>
    <row r="194" spans="1:27" ht="14.4" customHeight="1">
      <c r="A194" s="75"/>
      <c r="B194" s="46"/>
      <c r="C194" s="56" t="s">
        <v>196</v>
      </c>
      <c r="D194" s="48" t="str">
        <f t="shared" si="67"/>
        <v xml:space="preserve"> 528</v>
      </c>
      <c r="E194" s="57" t="s">
        <v>196</v>
      </c>
      <c r="F194" s="50">
        <f t="shared" si="68"/>
        <v>0</v>
      </c>
      <c r="G194" s="51" t="s">
        <v>300</v>
      </c>
      <c r="H194" s="51" t="s">
        <v>51</v>
      </c>
      <c r="I194" s="51" t="s">
        <v>349</v>
      </c>
      <c r="J194" s="52">
        <v>50000</v>
      </c>
      <c r="K194" s="61">
        <f t="shared" si="87"/>
        <v>5900</v>
      </c>
      <c r="L194" s="50" t="s">
        <v>24</v>
      </c>
      <c r="M194" s="54">
        <f t="shared" si="88"/>
        <v>44100</v>
      </c>
      <c r="N194" s="65">
        <f>2000+300+600+3000</f>
        <v>5900</v>
      </c>
      <c r="O194" s="55">
        <f t="shared" si="89"/>
        <v>50000</v>
      </c>
      <c r="P194" s="43"/>
      <c r="Q194" s="41" t="s">
        <v>411</v>
      </c>
      <c r="R194" s="10"/>
      <c r="S194" s="10">
        <f t="shared" si="90"/>
        <v>50000</v>
      </c>
      <c r="T194" s="10">
        <f t="shared" si="91"/>
        <v>71428.571428571435</v>
      </c>
      <c r="U194" s="11">
        <f t="shared" si="92"/>
        <v>81632.653061224497</v>
      </c>
      <c r="V194" s="12">
        <f t="shared" si="93"/>
        <v>0.125</v>
      </c>
      <c r="W194" s="11">
        <f t="shared" si="94"/>
        <v>81700</v>
      </c>
      <c r="X194" s="26">
        <f t="shared" si="95"/>
        <v>0.30000000000000004</v>
      </c>
      <c r="Y194" s="13"/>
      <c r="Z194" s="13"/>
      <c r="AA194" s="13"/>
    </row>
    <row r="195" spans="1:27" ht="14.4" customHeight="1">
      <c r="A195" s="75"/>
      <c r="B195" s="46"/>
      <c r="C195" s="56" t="s">
        <v>140</v>
      </c>
      <c r="D195" s="48" t="str">
        <f t="shared" si="67"/>
        <v xml:space="preserve"> 207</v>
      </c>
      <c r="E195" s="57" t="s">
        <v>140</v>
      </c>
      <c r="F195" s="50">
        <f t="shared" si="68"/>
        <v>0</v>
      </c>
      <c r="G195" s="51" t="s">
        <v>300</v>
      </c>
      <c r="H195" s="51" t="s">
        <v>51</v>
      </c>
      <c r="I195" s="51" t="s">
        <v>335</v>
      </c>
      <c r="J195" s="52">
        <v>80000</v>
      </c>
      <c r="K195" s="61">
        <f t="shared" si="87"/>
        <v>6900</v>
      </c>
      <c r="L195" s="50" t="s">
        <v>24</v>
      </c>
      <c r="M195" s="54">
        <f t="shared" si="88"/>
        <v>73100</v>
      </c>
      <c r="N195" s="54">
        <f>2000+300+600+1000+3000</f>
        <v>6900</v>
      </c>
      <c r="O195" s="55">
        <f t="shared" si="89"/>
        <v>80000</v>
      </c>
      <c r="P195" s="43"/>
      <c r="Q195" s="41" t="s">
        <v>387</v>
      </c>
      <c r="R195" s="10"/>
      <c r="S195" s="10">
        <f t="shared" si="90"/>
        <v>80000</v>
      </c>
      <c r="T195" s="10">
        <f t="shared" si="91"/>
        <v>114285.71428571429</v>
      </c>
      <c r="U195" s="11">
        <f t="shared" si="92"/>
        <v>130612.24489795919</v>
      </c>
      <c r="V195" s="12">
        <f t="shared" si="93"/>
        <v>0.12499999999999999</v>
      </c>
      <c r="W195" s="11">
        <f t="shared" si="94"/>
        <v>130700</v>
      </c>
      <c r="X195" s="26">
        <f t="shared" si="95"/>
        <v>0.30000000000000004</v>
      </c>
      <c r="Y195" s="13"/>
      <c r="Z195" s="13"/>
      <c r="AA195" s="13"/>
    </row>
    <row r="196" spans="1:27" ht="14.4" customHeight="1">
      <c r="A196" s="75"/>
      <c r="B196" s="46"/>
      <c r="C196" s="56" t="s">
        <v>141</v>
      </c>
      <c r="D196" s="48" t="str">
        <f t="shared" si="67"/>
        <v xml:space="preserve"> 913</v>
      </c>
      <c r="E196" s="57" t="s">
        <v>141</v>
      </c>
      <c r="F196" s="50">
        <f t="shared" si="68"/>
        <v>0</v>
      </c>
      <c r="G196" s="51" t="s">
        <v>300</v>
      </c>
      <c r="H196" s="51" t="s">
        <v>51</v>
      </c>
      <c r="I196" s="51" t="s">
        <v>335</v>
      </c>
      <c r="J196" s="52">
        <v>75000</v>
      </c>
      <c r="K196" s="61">
        <f t="shared" si="87"/>
        <v>6900</v>
      </c>
      <c r="L196" s="50" t="s">
        <v>24</v>
      </c>
      <c r="M196" s="54">
        <f t="shared" si="88"/>
        <v>68100</v>
      </c>
      <c r="N196" s="54">
        <f>2000+300+600+1000+3000</f>
        <v>6900</v>
      </c>
      <c r="O196" s="55">
        <f t="shared" si="89"/>
        <v>75000</v>
      </c>
      <c r="P196" s="44"/>
      <c r="Q196" s="41" t="s">
        <v>387</v>
      </c>
      <c r="R196" s="10"/>
      <c r="S196" s="10">
        <f t="shared" si="90"/>
        <v>75000</v>
      </c>
      <c r="T196" s="10">
        <f t="shared" si="91"/>
        <v>107142.85714285714</v>
      </c>
      <c r="U196" s="11">
        <f t="shared" si="92"/>
        <v>122448.97959183673</v>
      </c>
      <c r="V196" s="12">
        <f t="shared" si="93"/>
        <v>0.12499999999999996</v>
      </c>
      <c r="W196" s="11">
        <f t="shared" si="94"/>
        <v>122500</v>
      </c>
      <c r="X196" s="26">
        <f t="shared" si="95"/>
        <v>0.3</v>
      </c>
      <c r="Y196" s="13"/>
      <c r="Z196" s="13"/>
      <c r="AA196" s="14"/>
    </row>
    <row r="197" spans="1:27" ht="14.4" customHeight="1">
      <c r="A197" s="75"/>
      <c r="B197" s="46"/>
      <c r="C197" s="56" t="s">
        <v>142</v>
      </c>
      <c r="D197" s="48" t="str">
        <f t="shared" ref="D197:D260" si="96">REPLACE(C197,1,3, )</f>
        <v xml:space="preserve"> 949</v>
      </c>
      <c r="E197" s="57" t="s">
        <v>142</v>
      </c>
      <c r="F197" s="50">
        <f t="shared" ref="F197:F260" si="97">IF(C197=E197,0,1)</f>
        <v>0</v>
      </c>
      <c r="G197" s="51" t="s">
        <v>300</v>
      </c>
      <c r="H197" s="51" t="s">
        <v>51</v>
      </c>
      <c r="I197" s="51" t="s">
        <v>335</v>
      </c>
      <c r="J197" s="52">
        <v>82000</v>
      </c>
      <c r="K197" s="61">
        <f t="shared" si="87"/>
        <v>5900</v>
      </c>
      <c r="L197" s="50" t="s">
        <v>24</v>
      </c>
      <c r="M197" s="54">
        <f t="shared" si="88"/>
        <v>76100</v>
      </c>
      <c r="N197" s="54">
        <f>2000+300+600+3000</f>
        <v>5900</v>
      </c>
      <c r="O197" s="55">
        <f t="shared" si="89"/>
        <v>82000</v>
      </c>
      <c r="P197" s="44"/>
      <c r="Q197" s="41" t="s">
        <v>388</v>
      </c>
      <c r="R197" s="10"/>
      <c r="S197" s="10">
        <f t="shared" si="90"/>
        <v>82000</v>
      </c>
      <c r="T197" s="10">
        <f t="shared" si="91"/>
        <v>117142.85714285714</v>
      </c>
      <c r="U197" s="11">
        <f t="shared" si="92"/>
        <v>133877.55102040817</v>
      </c>
      <c r="V197" s="12">
        <f t="shared" si="93"/>
        <v>0.125</v>
      </c>
      <c r="W197" s="11">
        <f t="shared" si="94"/>
        <v>133900</v>
      </c>
      <c r="X197" s="26">
        <f t="shared" si="95"/>
        <v>0.3</v>
      </c>
      <c r="Y197" s="13"/>
      <c r="Z197" s="13"/>
      <c r="AA197" s="13"/>
    </row>
    <row r="198" spans="1:27" ht="14.4" customHeight="1">
      <c r="A198" s="75"/>
      <c r="B198" s="46"/>
      <c r="C198" s="56" t="s">
        <v>143</v>
      </c>
      <c r="D198" s="48" t="str">
        <f t="shared" si="96"/>
        <v xml:space="preserve"> 403</v>
      </c>
      <c r="E198" s="57" t="s">
        <v>143</v>
      </c>
      <c r="F198" s="50">
        <f t="shared" si="97"/>
        <v>0</v>
      </c>
      <c r="G198" s="51" t="s">
        <v>300</v>
      </c>
      <c r="H198" s="51" t="s">
        <v>51</v>
      </c>
      <c r="I198" s="51" t="s">
        <v>335</v>
      </c>
      <c r="J198" s="52">
        <v>82000</v>
      </c>
      <c r="K198" s="61">
        <f t="shared" si="87"/>
        <v>6550</v>
      </c>
      <c r="L198" s="50" t="s">
        <v>24</v>
      </c>
      <c r="M198" s="54">
        <f t="shared" si="88"/>
        <v>75450</v>
      </c>
      <c r="N198" s="54">
        <f>2000+300+600+650+3000</f>
        <v>6550</v>
      </c>
      <c r="O198" s="55">
        <f t="shared" si="89"/>
        <v>82000</v>
      </c>
      <c r="P198" s="44"/>
      <c r="Q198" s="41" t="s">
        <v>389</v>
      </c>
      <c r="R198" s="10"/>
      <c r="S198" s="10">
        <f t="shared" si="90"/>
        <v>82000</v>
      </c>
      <c r="T198" s="10">
        <f t="shared" si="91"/>
        <v>117142.85714285714</v>
      </c>
      <c r="U198" s="11">
        <f t="shared" si="92"/>
        <v>133877.55102040817</v>
      </c>
      <c r="V198" s="12">
        <f t="shared" si="93"/>
        <v>0.125</v>
      </c>
      <c r="W198" s="11">
        <f t="shared" si="94"/>
        <v>133900</v>
      </c>
      <c r="X198" s="26">
        <f t="shared" si="95"/>
        <v>0.3</v>
      </c>
      <c r="Y198" s="13"/>
      <c r="Z198" s="13"/>
      <c r="AA198" s="13"/>
    </row>
    <row r="199" spans="1:27" ht="14.4" customHeight="1">
      <c r="A199" s="75"/>
      <c r="B199" s="46"/>
      <c r="C199" s="56" t="s">
        <v>172</v>
      </c>
      <c r="D199" s="48" t="str">
        <f t="shared" si="96"/>
        <v xml:space="preserve"> 985</v>
      </c>
      <c r="E199" s="57" t="s">
        <v>172</v>
      </c>
      <c r="F199" s="50">
        <f t="shared" si="97"/>
        <v>0</v>
      </c>
      <c r="G199" s="51" t="s">
        <v>300</v>
      </c>
      <c r="H199" s="51" t="s">
        <v>309</v>
      </c>
      <c r="I199" s="51" t="s">
        <v>343</v>
      </c>
      <c r="J199" s="52">
        <v>67000</v>
      </c>
      <c r="K199" s="61">
        <f t="shared" si="87"/>
        <v>6650</v>
      </c>
      <c r="L199" s="50" t="s">
        <v>24</v>
      </c>
      <c r="M199" s="54">
        <f t="shared" si="88"/>
        <v>60350</v>
      </c>
      <c r="N199" s="54">
        <f t="shared" ref="N199:N204" si="98">2000+200+250+600+3600</f>
        <v>6650</v>
      </c>
      <c r="O199" s="55">
        <f t="shared" si="89"/>
        <v>67000</v>
      </c>
      <c r="P199" s="43"/>
      <c r="Q199" s="41" t="s">
        <v>400</v>
      </c>
      <c r="R199" s="10"/>
      <c r="S199" s="10">
        <f t="shared" si="90"/>
        <v>67000</v>
      </c>
      <c r="T199" s="10">
        <f t="shared" si="91"/>
        <v>95714.285714285725</v>
      </c>
      <c r="U199" s="11">
        <f t="shared" si="92"/>
        <v>109387.75510204083</v>
      </c>
      <c r="V199" s="12">
        <f t="shared" si="93"/>
        <v>0.125</v>
      </c>
      <c r="W199" s="11">
        <f t="shared" si="94"/>
        <v>109400</v>
      </c>
      <c r="X199" s="26">
        <f t="shared" si="95"/>
        <v>0.3000000000000001</v>
      </c>
      <c r="Y199" s="13"/>
      <c r="Z199" s="13"/>
      <c r="AA199" s="13"/>
    </row>
    <row r="200" spans="1:27" ht="14.4" customHeight="1">
      <c r="A200" s="75"/>
      <c r="B200" s="46"/>
      <c r="C200" s="56" t="s">
        <v>173</v>
      </c>
      <c r="D200" s="48" t="str">
        <f t="shared" si="96"/>
        <v xml:space="preserve"> 935</v>
      </c>
      <c r="E200" s="57" t="s">
        <v>173</v>
      </c>
      <c r="F200" s="50">
        <f t="shared" si="97"/>
        <v>0</v>
      </c>
      <c r="G200" s="51" t="s">
        <v>300</v>
      </c>
      <c r="H200" s="51" t="s">
        <v>309</v>
      </c>
      <c r="I200" s="51" t="s">
        <v>343</v>
      </c>
      <c r="J200" s="52">
        <v>49000</v>
      </c>
      <c r="K200" s="61">
        <f t="shared" si="87"/>
        <v>6650</v>
      </c>
      <c r="L200" s="50" t="s">
        <v>24</v>
      </c>
      <c r="M200" s="54">
        <f t="shared" si="88"/>
        <v>42350</v>
      </c>
      <c r="N200" s="54">
        <f t="shared" si="98"/>
        <v>6650</v>
      </c>
      <c r="O200" s="55">
        <f t="shared" si="89"/>
        <v>49000</v>
      </c>
      <c r="P200" s="43"/>
      <c r="Q200" s="41" t="s">
        <v>400</v>
      </c>
      <c r="R200" s="10"/>
      <c r="S200" s="10">
        <f t="shared" si="90"/>
        <v>49000</v>
      </c>
      <c r="T200" s="10">
        <f t="shared" si="91"/>
        <v>70000</v>
      </c>
      <c r="U200" s="11">
        <f t="shared" si="92"/>
        <v>80000</v>
      </c>
      <c r="V200" s="12">
        <f t="shared" si="93"/>
        <v>0.125</v>
      </c>
      <c r="W200" s="11">
        <f t="shared" si="94"/>
        <v>80000</v>
      </c>
      <c r="X200" s="26">
        <f t="shared" si="95"/>
        <v>0.3</v>
      </c>
      <c r="Y200" s="13"/>
      <c r="Z200" s="13"/>
      <c r="AA200" s="14"/>
    </row>
    <row r="201" spans="1:27" ht="14.4" customHeight="1">
      <c r="A201" s="75"/>
      <c r="B201" s="46"/>
      <c r="C201" s="56" t="s">
        <v>174</v>
      </c>
      <c r="D201" s="48" t="str">
        <f t="shared" si="96"/>
        <v xml:space="preserve"> 783</v>
      </c>
      <c r="E201" s="57" t="s">
        <v>174</v>
      </c>
      <c r="F201" s="50">
        <f t="shared" si="97"/>
        <v>0</v>
      </c>
      <c r="G201" s="51" t="s">
        <v>300</v>
      </c>
      <c r="H201" s="51" t="s">
        <v>309</v>
      </c>
      <c r="I201" s="51" t="s">
        <v>343</v>
      </c>
      <c r="J201" s="52">
        <v>52500</v>
      </c>
      <c r="K201" s="53">
        <f t="shared" si="87"/>
        <v>6650</v>
      </c>
      <c r="L201" s="50" t="s">
        <v>24</v>
      </c>
      <c r="M201" s="54">
        <f t="shared" si="88"/>
        <v>45850</v>
      </c>
      <c r="N201" s="54">
        <f t="shared" si="98"/>
        <v>6650</v>
      </c>
      <c r="O201" s="55">
        <f t="shared" si="89"/>
        <v>52500</v>
      </c>
      <c r="P201" s="42"/>
      <c r="Q201" s="41" t="s">
        <v>400</v>
      </c>
      <c r="R201" s="10"/>
      <c r="S201" s="10">
        <f t="shared" si="90"/>
        <v>52500</v>
      </c>
      <c r="T201" s="10">
        <f t="shared" si="91"/>
        <v>75000</v>
      </c>
      <c r="U201" s="11">
        <f t="shared" si="92"/>
        <v>85714.28571428571</v>
      </c>
      <c r="V201" s="12">
        <f t="shared" si="93"/>
        <v>0.12499999999999996</v>
      </c>
      <c r="W201" s="11">
        <f t="shared" si="94"/>
        <v>85800</v>
      </c>
      <c r="X201" s="26">
        <f t="shared" si="95"/>
        <v>0.3</v>
      </c>
      <c r="Y201" s="13"/>
      <c r="Z201" s="13"/>
      <c r="AA201" s="13"/>
    </row>
    <row r="202" spans="1:27" ht="14.4" customHeight="1">
      <c r="A202" s="75"/>
      <c r="B202" s="46"/>
      <c r="C202" s="56" t="s">
        <v>70</v>
      </c>
      <c r="D202" s="48" t="str">
        <f t="shared" si="96"/>
        <v xml:space="preserve"> 472</v>
      </c>
      <c r="E202" s="57" t="s">
        <v>70</v>
      </c>
      <c r="F202" s="50">
        <f t="shared" si="97"/>
        <v>0</v>
      </c>
      <c r="G202" s="51" t="s">
        <v>21</v>
      </c>
      <c r="H202" s="51" t="s">
        <v>309</v>
      </c>
      <c r="I202" s="51" t="s">
        <v>343</v>
      </c>
      <c r="J202" s="52">
        <v>54000</v>
      </c>
      <c r="K202" s="61">
        <f t="shared" si="87"/>
        <v>6650</v>
      </c>
      <c r="L202" s="50" t="s">
        <v>24</v>
      </c>
      <c r="M202" s="54">
        <f t="shared" si="88"/>
        <v>47350</v>
      </c>
      <c r="N202" s="54">
        <f t="shared" si="98"/>
        <v>6650</v>
      </c>
      <c r="O202" s="55">
        <f t="shared" si="89"/>
        <v>54000</v>
      </c>
      <c r="P202" s="43"/>
      <c r="Q202" s="41" t="s">
        <v>400</v>
      </c>
      <c r="R202" s="10"/>
      <c r="S202" s="10">
        <f t="shared" si="90"/>
        <v>54000</v>
      </c>
      <c r="T202" s="10">
        <f t="shared" si="91"/>
        <v>77142.857142857145</v>
      </c>
      <c r="U202" s="11">
        <f t="shared" si="92"/>
        <v>88163.265306122456</v>
      </c>
      <c r="V202" s="12">
        <f t="shared" si="93"/>
        <v>0.12500000000000003</v>
      </c>
      <c r="W202" s="11">
        <f t="shared" si="94"/>
        <v>88200</v>
      </c>
      <c r="X202" s="26">
        <f t="shared" si="95"/>
        <v>0.30000000000000004</v>
      </c>
      <c r="Y202" s="36">
        <v>75075</v>
      </c>
      <c r="Z202" s="29">
        <f>T202-Y202</f>
        <v>2067.8571428571449</v>
      </c>
      <c r="AA202" s="30">
        <f>Z202/Y202</f>
        <v>2.7543884686741859E-2</v>
      </c>
    </row>
    <row r="203" spans="1:27" ht="14.4" customHeight="1">
      <c r="A203" s="75"/>
      <c r="B203" s="46"/>
      <c r="C203" s="56" t="s">
        <v>175</v>
      </c>
      <c r="D203" s="48" t="str">
        <f t="shared" si="96"/>
        <v xml:space="preserve"> 687</v>
      </c>
      <c r="E203" s="57" t="s">
        <v>175</v>
      </c>
      <c r="F203" s="50">
        <f t="shared" si="97"/>
        <v>0</v>
      </c>
      <c r="G203" s="51" t="s">
        <v>300</v>
      </c>
      <c r="H203" s="51" t="s">
        <v>309</v>
      </c>
      <c r="I203" s="51" t="s">
        <v>343</v>
      </c>
      <c r="J203" s="52">
        <v>52500</v>
      </c>
      <c r="K203" s="61">
        <f t="shared" si="87"/>
        <v>6650</v>
      </c>
      <c r="L203" s="50" t="s">
        <v>24</v>
      </c>
      <c r="M203" s="54">
        <f t="shared" si="88"/>
        <v>45850</v>
      </c>
      <c r="N203" s="54">
        <f t="shared" si="98"/>
        <v>6650</v>
      </c>
      <c r="O203" s="55">
        <f t="shared" si="89"/>
        <v>52500</v>
      </c>
      <c r="P203" s="43"/>
      <c r="Q203" s="41" t="s">
        <v>400</v>
      </c>
      <c r="R203" s="10"/>
      <c r="S203" s="10">
        <f t="shared" si="90"/>
        <v>52500</v>
      </c>
      <c r="T203" s="10">
        <f t="shared" si="91"/>
        <v>75000</v>
      </c>
      <c r="U203" s="11">
        <f t="shared" si="92"/>
        <v>85714.28571428571</v>
      </c>
      <c r="V203" s="12">
        <f t="shared" si="93"/>
        <v>0.12499999999999996</v>
      </c>
      <c r="W203" s="11">
        <f t="shared" si="94"/>
        <v>85800</v>
      </c>
      <c r="X203" s="26">
        <f t="shared" si="95"/>
        <v>0.3</v>
      </c>
      <c r="Y203" s="13"/>
      <c r="Z203" s="13"/>
      <c r="AA203" s="14"/>
    </row>
    <row r="204" spans="1:27" ht="14.4" customHeight="1">
      <c r="A204" s="75"/>
      <c r="B204" s="46"/>
      <c r="C204" s="56" t="s">
        <v>176</v>
      </c>
      <c r="D204" s="48" t="str">
        <f t="shared" si="96"/>
        <v xml:space="preserve"> 743</v>
      </c>
      <c r="E204" s="57" t="s">
        <v>176</v>
      </c>
      <c r="F204" s="50">
        <f t="shared" si="97"/>
        <v>0</v>
      </c>
      <c r="G204" s="51" t="s">
        <v>300</v>
      </c>
      <c r="H204" s="51" t="s">
        <v>309</v>
      </c>
      <c r="I204" s="51" t="s">
        <v>343</v>
      </c>
      <c r="J204" s="52">
        <v>52500</v>
      </c>
      <c r="K204" s="61">
        <f t="shared" si="87"/>
        <v>6650</v>
      </c>
      <c r="L204" s="50" t="s">
        <v>24</v>
      </c>
      <c r="M204" s="54">
        <f t="shared" si="88"/>
        <v>45850</v>
      </c>
      <c r="N204" s="54">
        <f t="shared" si="98"/>
        <v>6650</v>
      </c>
      <c r="O204" s="55">
        <f t="shared" si="89"/>
        <v>52500</v>
      </c>
      <c r="P204" s="43"/>
      <c r="Q204" s="41" t="s">
        <v>400</v>
      </c>
      <c r="R204" s="10"/>
      <c r="S204" s="10">
        <f t="shared" si="90"/>
        <v>52500</v>
      </c>
      <c r="T204" s="10">
        <f t="shared" si="91"/>
        <v>75000</v>
      </c>
      <c r="U204" s="11">
        <f t="shared" si="92"/>
        <v>85714.28571428571</v>
      </c>
      <c r="V204" s="12">
        <f t="shared" si="93"/>
        <v>0.12499999999999996</v>
      </c>
      <c r="W204" s="11">
        <f t="shared" si="94"/>
        <v>85800</v>
      </c>
      <c r="X204" s="26">
        <f t="shared" si="95"/>
        <v>0.3</v>
      </c>
      <c r="Y204" s="13"/>
      <c r="Z204" s="13"/>
      <c r="AA204" s="14"/>
    </row>
    <row r="205" spans="1:27" ht="14.4" customHeight="1">
      <c r="A205" s="75"/>
      <c r="B205" s="46"/>
      <c r="C205" s="56" t="s">
        <v>37</v>
      </c>
      <c r="D205" s="48" t="str">
        <f t="shared" si="96"/>
        <v xml:space="preserve"> 317</v>
      </c>
      <c r="E205" s="57" t="s">
        <v>37</v>
      </c>
      <c r="F205" s="50">
        <f t="shared" si="97"/>
        <v>0</v>
      </c>
      <c r="G205" s="51" t="s">
        <v>21</v>
      </c>
      <c r="H205" s="51" t="s">
        <v>323</v>
      </c>
      <c r="I205" s="51" t="s">
        <v>357</v>
      </c>
      <c r="J205" s="52">
        <v>86500</v>
      </c>
      <c r="K205" s="61">
        <f t="shared" si="87"/>
        <v>6650</v>
      </c>
      <c r="L205" s="50" t="s">
        <v>24</v>
      </c>
      <c r="M205" s="54">
        <f t="shared" si="88"/>
        <v>79850</v>
      </c>
      <c r="N205" s="65">
        <f>2000+200+350+600+500+3000</f>
        <v>6650</v>
      </c>
      <c r="O205" s="55">
        <f t="shared" si="89"/>
        <v>86500</v>
      </c>
      <c r="P205" s="44"/>
      <c r="Q205" s="41" t="s">
        <v>426</v>
      </c>
      <c r="R205" s="10"/>
      <c r="S205" s="10">
        <f t="shared" si="90"/>
        <v>86500</v>
      </c>
      <c r="T205" s="10">
        <f t="shared" si="91"/>
        <v>123571.42857142858</v>
      </c>
      <c r="U205" s="11">
        <f t="shared" si="92"/>
        <v>141224.48979591837</v>
      </c>
      <c r="V205" s="12">
        <f t="shared" si="93"/>
        <v>0.12499999999999997</v>
      </c>
      <c r="W205" s="11">
        <f t="shared" si="94"/>
        <v>141300</v>
      </c>
      <c r="X205" s="26">
        <f t="shared" si="95"/>
        <v>0.30000000000000004</v>
      </c>
      <c r="Y205" s="36">
        <v>124338</v>
      </c>
      <c r="Z205" s="29">
        <f>T205-Y205</f>
        <v>-766.57142857142026</v>
      </c>
      <c r="AA205" s="30">
        <f>Z205/Y205</f>
        <v>-6.165222446648814E-3</v>
      </c>
    </row>
    <row r="206" spans="1:27" ht="14.4" customHeight="1">
      <c r="A206" s="75"/>
      <c r="B206" s="46"/>
      <c r="C206" s="56" t="s">
        <v>36</v>
      </c>
      <c r="D206" s="48" t="str">
        <f t="shared" si="96"/>
        <v xml:space="preserve"> 258</v>
      </c>
      <c r="E206" s="57" t="s">
        <v>36</v>
      </c>
      <c r="F206" s="50">
        <f t="shared" si="97"/>
        <v>0</v>
      </c>
      <c r="G206" s="51" t="s">
        <v>21</v>
      </c>
      <c r="H206" s="51" t="s">
        <v>324</v>
      </c>
      <c r="I206" s="51" t="s">
        <v>357</v>
      </c>
      <c r="J206" s="52">
        <v>86500</v>
      </c>
      <c r="K206" s="61">
        <f t="shared" si="87"/>
        <v>6650</v>
      </c>
      <c r="L206" s="50" t="s">
        <v>24</v>
      </c>
      <c r="M206" s="54">
        <f t="shared" si="88"/>
        <v>79850</v>
      </c>
      <c r="N206" s="65">
        <f>2000+200+350+600+500+3000</f>
        <v>6650</v>
      </c>
      <c r="O206" s="55">
        <f t="shared" si="89"/>
        <v>86500</v>
      </c>
      <c r="P206" s="43"/>
      <c r="Q206" s="41" t="s">
        <v>426</v>
      </c>
      <c r="R206" s="10"/>
      <c r="S206" s="10">
        <f t="shared" si="90"/>
        <v>86500</v>
      </c>
      <c r="T206" s="10">
        <f t="shared" si="91"/>
        <v>123571.42857142858</v>
      </c>
      <c r="U206" s="11">
        <f t="shared" si="92"/>
        <v>141224.48979591837</v>
      </c>
      <c r="V206" s="12">
        <f t="shared" si="93"/>
        <v>0.12499999999999997</v>
      </c>
      <c r="W206" s="11">
        <f t="shared" si="94"/>
        <v>141300</v>
      </c>
      <c r="X206" s="26">
        <f t="shared" si="95"/>
        <v>0.30000000000000004</v>
      </c>
      <c r="Y206" s="36">
        <v>124338</v>
      </c>
      <c r="Z206" s="29">
        <f>T206-Y206</f>
        <v>-766.57142857142026</v>
      </c>
      <c r="AA206" s="30">
        <f>Z206/Y206</f>
        <v>-6.165222446648814E-3</v>
      </c>
    </row>
    <row r="207" spans="1:27" ht="14.4" customHeight="1">
      <c r="A207" s="75"/>
      <c r="B207" s="46"/>
      <c r="C207" s="56" t="s">
        <v>484</v>
      </c>
      <c r="D207" s="48" t="str">
        <f t="shared" si="96"/>
        <v xml:space="preserve"> 340</v>
      </c>
      <c r="E207" s="58" t="s">
        <v>484</v>
      </c>
      <c r="F207" s="50">
        <f t="shared" si="97"/>
        <v>0</v>
      </c>
      <c r="G207" s="51" t="s">
        <v>300</v>
      </c>
      <c r="H207" s="51" t="s">
        <v>304</v>
      </c>
      <c r="I207" s="51" t="s">
        <v>357</v>
      </c>
      <c r="J207" s="52"/>
      <c r="K207" s="61"/>
      <c r="L207" s="50"/>
      <c r="M207" s="54"/>
      <c r="N207" s="65"/>
      <c r="O207" s="55"/>
      <c r="P207" s="43"/>
      <c r="Q207" s="41"/>
      <c r="R207" s="10"/>
      <c r="S207" s="10"/>
      <c r="T207" s="10"/>
      <c r="U207" s="11"/>
      <c r="V207" s="12"/>
      <c r="W207" s="11"/>
      <c r="X207" s="26"/>
      <c r="Y207" s="13"/>
      <c r="Z207" s="13"/>
      <c r="AA207" s="13"/>
    </row>
    <row r="208" spans="1:27" ht="14.4" customHeight="1">
      <c r="A208" s="75"/>
      <c r="B208" s="46"/>
      <c r="C208" s="56" t="s">
        <v>226</v>
      </c>
      <c r="D208" s="48" t="str">
        <f t="shared" si="96"/>
        <v xml:space="preserve"> 201</v>
      </c>
      <c r="E208" s="57" t="s">
        <v>226</v>
      </c>
      <c r="F208" s="50">
        <f t="shared" si="97"/>
        <v>0</v>
      </c>
      <c r="G208" s="51" t="s">
        <v>300</v>
      </c>
      <c r="H208" s="51" t="s">
        <v>29</v>
      </c>
      <c r="I208" s="51" t="s">
        <v>357</v>
      </c>
      <c r="J208" s="52">
        <v>97000</v>
      </c>
      <c r="K208" s="61">
        <f t="shared" ref="K208:K216" si="99">J208-M208</f>
        <v>6450</v>
      </c>
      <c r="L208" s="50" t="s">
        <v>24</v>
      </c>
      <c r="M208" s="54">
        <f t="shared" ref="M208:M232" si="100">J208-N208</f>
        <v>90550</v>
      </c>
      <c r="N208" s="65">
        <f>2000+200+350+600+300+3000</f>
        <v>6450</v>
      </c>
      <c r="O208" s="55">
        <f t="shared" ref="O208:O234" si="101">M208+N208</f>
        <v>97000</v>
      </c>
      <c r="P208" s="44"/>
      <c r="Q208" s="41" t="s">
        <v>427</v>
      </c>
      <c r="R208" s="10"/>
      <c r="S208" s="10">
        <f t="shared" ref="S208:S239" si="102">R208+O208</f>
        <v>97000</v>
      </c>
      <c r="T208" s="10">
        <f t="shared" ref="T208:T239" si="103">S208/0.7</f>
        <v>138571.42857142858</v>
      </c>
      <c r="U208" s="11">
        <f t="shared" ref="U208:U239" si="104">T208/0.875</f>
        <v>158367.34693877553</v>
      </c>
      <c r="V208" s="12">
        <f t="shared" ref="V208:V214" si="105">(U208-T208)/U208</f>
        <v>0.12500000000000006</v>
      </c>
      <c r="W208" s="11">
        <f t="shared" ref="W208:W239" si="106">(ROUNDUP((U208/100),0))*100</f>
        <v>158400</v>
      </c>
      <c r="X208" s="26">
        <f t="shared" ref="X208:X214" si="107">(T208-O208)/T208</f>
        <v>0.30000000000000004</v>
      </c>
      <c r="Y208" s="13"/>
      <c r="Z208" s="13"/>
      <c r="AA208" s="13"/>
    </row>
    <row r="209" spans="1:27" ht="14.4" customHeight="1">
      <c r="A209" s="75"/>
      <c r="B209" s="46"/>
      <c r="C209" s="56" t="s">
        <v>74</v>
      </c>
      <c r="D209" s="48" t="str">
        <f t="shared" si="96"/>
        <v xml:space="preserve"> 974</v>
      </c>
      <c r="E209" s="57" t="s">
        <v>74</v>
      </c>
      <c r="F209" s="50">
        <f t="shared" si="97"/>
        <v>0</v>
      </c>
      <c r="G209" s="58" t="s">
        <v>21</v>
      </c>
      <c r="H209" s="51" t="s">
        <v>304</v>
      </c>
      <c r="I209" s="51" t="s">
        <v>332</v>
      </c>
      <c r="J209" s="52">
        <v>71000</v>
      </c>
      <c r="K209" s="61">
        <f t="shared" si="99"/>
        <v>3900</v>
      </c>
      <c r="L209" s="50" t="s">
        <v>24</v>
      </c>
      <c r="M209" s="54">
        <f t="shared" si="100"/>
        <v>67100</v>
      </c>
      <c r="N209" s="54">
        <f>2000+200+350+600+750</f>
        <v>3900</v>
      </c>
      <c r="O209" s="55">
        <f t="shared" si="101"/>
        <v>71000</v>
      </c>
      <c r="P209" s="43"/>
      <c r="Q209" s="41" t="s">
        <v>374</v>
      </c>
      <c r="R209" s="10"/>
      <c r="S209" s="10">
        <f t="shared" si="102"/>
        <v>71000</v>
      </c>
      <c r="T209" s="10">
        <f t="shared" si="103"/>
        <v>101428.57142857143</v>
      </c>
      <c r="U209" s="11">
        <f t="shared" si="104"/>
        <v>115918.36734693879</v>
      </c>
      <c r="V209" s="12">
        <f t="shared" si="105"/>
        <v>0.12500000000000003</v>
      </c>
      <c r="W209" s="11">
        <f t="shared" si="106"/>
        <v>116000</v>
      </c>
      <c r="X209" s="26">
        <f t="shared" si="107"/>
        <v>0.30000000000000004</v>
      </c>
      <c r="Y209" s="36">
        <v>101500</v>
      </c>
      <c r="Z209" s="29">
        <f>T209-Y209</f>
        <v>-71.428571428565192</v>
      </c>
      <c r="AA209" s="30">
        <f>Z209/Y209</f>
        <v>-7.0372976776911515E-4</v>
      </c>
    </row>
    <row r="210" spans="1:27" ht="14.4" customHeight="1">
      <c r="A210" s="75"/>
      <c r="B210" s="46"/>
      <c r="C210" s="56" t="s">
        <v>127</v>
      </c>
      <c r="D210" s="48" t="str">
        <f t="shared" si="96"/>
        <v xml:space="preserve"> 253</v>
      </c>
      <c r="E210" s="57" t="s">
        <v>127</v>
      </c>
      <c r="F210" s="50">
        <f t="shared" si="97"/>
        <v>0</v>
      </c>
      <c r="G210" s="58" t="s">
        <v>300</v>
      </c>
      <c r="H210" s="51" t="s">
        <v>305</v>
      </c>
      <c r="I210" s="51" t="s">
        <v>332</v>
      </c>
      <c r="J210" s="52">
        <v>60000</v>
      </c>
      <c r="K210" s="53">
        <f t="shared" si="99"/>
        <v>3900</v>
      </c>
      <c r="L210" s="50" t="s">
        <v>24</v>
      </c>
      <c r="M210" s="54">
        <f t="shared" si="100"/>
        <v>56100</v>
      </c>
      <c r="N210" s="54">
        <f>2000+200+350+600+750</f>
        <v>3900</v>
      </c>
      <c r="O210" s="55">
        <f t="shared" si="101"/>
        <v>60000</v>
      </c>
      <c r="P210" s="42"/>
      <c r="Q210" s="41" t="s">
        <v>374</v>
      </c>
      <c r="R210" s="10"/>
      <c r="S210" s="10">
        <f t="shared" si="102"/>
        <v>60000</v>
      </c>
      <c r="T210" s="10">
        <f t="shared" si="103"/>
        <v>85714.285714285725</v>
      </c>
      <c r="U210" s="11">
        <f t="shared" si="104"/>
        <v>97959.183673469393</v>
      </c>
      <c r="V210" s="12">
        <f t="shared" si="105"/>
        <v>0.12499999999999994</v>
      </c>
      <c r="W210" s="11">
        <f t="shared" si="106"/>
        <v>98000</v>
      </c>
      <c r="X210" s="26">
        <f t="shared" si="107"/>
        <v>0.3000000000000001</v>
      </c>
      <c r="Y210" s="13"/>
      <c r="Z210" s="13"/>
      <c r="AA210" s="14"/>
    </row>
    <row r="211" spans="1:27" ht="14.4" customHeight="1">
      <c r="A211" s="75"/>
      <c r="B211" s="46"/>
      <c r="C211" s="56" t="s">
        <v>128</v>
      </c>
      <c r="D211" s="48" t="str">
        <f t="shared" si="96"/>
        <v xml:space="preserve"> 191</v>
      </c>
      <c r="E211" s="57" t="s">
        <v>128</v>
      </c>
      <c r="F211" s="50">
        <f t="shared" si="97"/>
        <v>0</v>
      </c>
      <c r="G211" s="58" t="s">
        <v>300</v>
      </c>
      <c r="H211" s="51" t="s">
        <v>305</v>
      </c>
      <c r="I211" s="51" t="s">
        <v>332</v>
      </c>
      <c r="J211" s="52">
        <v>60000</v>
      </c>
      <c r="K211" s="61">
        <f t="shared" si="99"/>
        <v>3900</v>
      </c>
      <c r="L211" s="50" t="s">
        <v>24</v>
      </c>
      <c r="M211" s="54">
        <f t="shared" si="100"/>
        <v>56100</v>
      </c>
      <c r="N211" s="54">
        <f>2000+200+350+600+750</f>
        <v>3900</v>
      </c>
      <c r="O211" s="55">
        <f t="shared" si="101"/>
        <v>60000</v>
      </c>
      <c r="P211" s="43"/>
      <c r="Q211" s="41" t="s">
        <v>374</v>
      </c>
      <c r="R211" s="10"/>
      <c r="S211" s="10">
        <f t="shared" si="102"/>
        <v>60000</v>
      </c>
      <c r="T211" s="10">
        <f t="shared" si="103"/>
        <v>85714.285714285725</v>
      </c>
      <c r="U211" s="11">
        <f t="shared" si="104"/>
        <v>97959.183673469393</v>
      </c>
      <c r="V211" s="12">
        <f t="shared" si="105"/>
        <v>0.12499999999999994</v>
      </c>
      <c r="W211" s="11">
        <f t="shared" si="106"/>
        <v>98000</v>
      </c>
      <c r="X211" s="26">
        <f t="shared" si="107"/>
        <v>0.3000000000000001</v>
      </c>
      <c r="Y211" s="13"/>
      <c r="Z211" s="13"/>
      <c r="AA211" s="14"/>
    </row>
    <row r="212" spans="1:27" ht="14.4" customHeight="1">
      <c r="A212" s="75"/>
      <c r="B212" s="46"/>
      <c r="C212" s="56" t="s">
        <v>129</v>
      </c>
      <c r="D212" s="48" t="str">
        <f t="shared" si="96"/>
        <v xml:space="preserve"> 379</v>
      </c>
      <c r="E212" s="57" t="s">
        <v>129</v>
      </c>
      <c r="F212" s="50">
        <f t="shared" si="97"/>
        <v>0</v>
      </c>
      <c r="G212" s="58" t="s">
        <v>300</v>
      </c>
      <c r="H212" s="51" t="s">
        <v>306</v>
      </c>
      <c r="I212" s="51" t="s">
        <v>332</v>
      </c>
      <c r="J212" s="52">
        <v>103000</v>
      </c>
      <c r="K212" s="61">
        <f t="shared" si="99"/>
        <v>6800</v>
      </c>
      <c r="L212" s="50" t="s">
        <v>24</v>
      </c>
      <c r="M212" s="54">
        <f t="shared" si="100"/>
        <v>96200</v>
      </c>
      <c r="N212" s="54">
        <f>2000+200+350+600+650+3000</f>
        <v>6800</v>
      </c>
      <c r="O212" s="55">
        <f t="shared" si="101"/>
        <v>103000</v>
      </c>
      <c r="P212" s="43"/>
      <c r="Q212" s="41" t="s">
        <v>375</v>
      </c>
      <c r="R212" s="10"/>
      <c r="S212" s="10">
        <f t="shared" si="102"/>
        <v>103000</v>
      </c>
      <c r="T212" s="10">
        <f t="shared" si="103"/>
        <v>147142.85714285716</v>
      </c>
      <c r="U212" s="11">
        <f t="shared" si="104"/>
        <v>168163.26530612246</v>
      </c>
      <c r="V212" s="12">
        <f t="shared" si="105"/>
        <v>0.12499999999999993</v>
      </c>
      <c r="W212" s="11">
        <f t="shared" si="106"/>
        <v>168200</v>
      </c>
      <c r="X212" s="26">
        <f t="shared" si="107"/>
        <v>0.3000000000000001</v>
      </c>
      <c r="Y212" s="13"/>
      <c r="Z212" s="13"/>
      <c r="AA212" s="14"/>
    </row>
    <row r="213" spans="1:27" ht="14.4" customHeight="1">
      <c r="A213" s="75"/>
      <c r="B213" s="46"/>
      <c r="C213" s="56" t="s">
        <v>197</v>
      </c>
      <c r="D213" s="48" t="str">
        <f t="shared" si="96"/>
        <v xml:space="preserve"> 174</v>
      </c>
      <c r="E213" s="57" t="s">
        <v>197</v>
      </c>
      <c r="F213" s="50">
        <f t="shared" si="97"/>
        <v>0</v>
      </c>
      <c r="G213" s="51" t="s">
        <v>300</v>
      </c>
      <c r="H213" s="51" t="s">
        <v>33</v>
      </c>
      <c r="I213" s="51" t="s">
        <v>350</v>
      </c>
      <c r="J213" s="52">
        <v>104000</v>
      </c>
      <c r="K213" s="61">
        <f t="shared" si="99"/>
        <v>3900</v>
      </c>
      <c r="L213" s="50" t="s">
        <v>24</v>
      </c>
      <c r="M213" s="54">
        <f t="shared" si="100"/>
        <v>100100</v>
      </c>
      <c r="N213" s="65">
        <f>2000+200+350+600+750</f>
        <v>3900</v>
      </c>
      <c r="O213" s="55">
        <f t="shared" si="101"/>
        <v>104000</v>
      </c>
      <c r="P213" s="43"/>
      <c r="Q213" s="41" t="s">
        <v>401</v>
      </c>
      <c r="R213" s="10"/>
      <c r="S213" s="10">
        <f t="shared" si="102"/>
        <v>104000</v>
      </c>
      <c r="T213" s="10">
        <f t="shared" si="103"/>
        <v>148571.42857142858</v>
      </c>
      <c r="U213" s="11">
        <f t="shared" si="104"/>
        <v>169795.91836734695</v>
      </c>
      <c r="V213" s="12">
        <f t="shared" si="105"/>
        <v>0.12500000000000003</v>
      </c>
      <c r="W213" s="11">
        <f t="shared" si="106"/>
        <v>169800</v>
      </c>
      <c r="X213" s="26">
        <f t="shared" si="107"/>
        <v>0.30000000000000004</v>
      </c>
      <c r="Y213" s="13"/>
      <c r="Z213" s="13"/>
      <c r="AA213" s="14"/>
    </row>
    <row r="214" spans="1:27" ht="14.4" customHeight="1">
      <c r="A214" s="75"/>
      <c r="B214" s="46"/>
      <c r="C214" s="56" t="s">
        <v>198</v>
      </c>
      <c r="D214" s="48" t="str">
        <f t="shared" si="96"/>
        <v xml:space="preserve"> 224</v>
      </c>
      <c r="E214" s="57" t="s">
        <v>198</v>
      </c>
      <c r="F214" s="50">
        <f t="shared" si="97"/>
        <v>0</v>
      </c>
      <c r="G214" s="51" t="s">
        <v>300</v>
      </c>
      <c r="H214" s="51" t="s">
        <v>301</v>
      </c>
      <c r="I214" s="51" t="s">
        <v>350</v>
      </c>
      <c r="J214" s="52">
        <v>100000</v>
      </c>
      <c r="K214" s="61">
        <f t="shared" si="99"/>
        <v>6950</v>
      </c>
      <c r="L214" s="50" t="s">
        <v>24</v>
      </c>
      <c r="M214" s="54">
        <f t="shared" si="100"/>
        <v>93050</v>
      </c>
      <c r="N214" s="65">
        <f>2000+200+600+750+3000+400</f>
        <v>6950</v>
      </c>
      <c r="O214" s="55">
        <f t="shared" si="101"/>
        <v>100000</v>
      </c>
      <c r="P214" s="43"/>
      <c r="Q214" s="41" t="s">
        <v>412</v>
      </c>
      <c r="R214" s="10"/>
      <c r="S214" s="10">
        <f t="shared" si="102"/>
        <v>100000</v>
      </c>
      <c r="T214" s="10">
        <f t="shared" si="103"/>
        <v>142857.14285714287</v>
      </c>
      <c r="U214" s="11">
        <f t="shared" si="104"/>
        <v>163265.30612244899</v>
      </c>
      <c r="V214" s="12">
        <f t="shared" si="105"/>
        <v>0.125</v>
      </c>
      <c r="W214" s="11">
        <f t="shared" si="106"/>
        <v>163300</v>
      </c>
      <c r="X214" s="26">
        <f t="shared" si="107"/>
        <v>0.30000000000000004</v>
      </c>
      <c r="Y214" s="13"/>
      <c r="Z214" s="13"/>
      <c r="AA214" s="14"/>
    </row>
    <row r="215" spans="1:27" ht="14.4" customHeight="1">
      <c r="A215" s="75"/>
      <c r="B215" s="46"/>
      <c r="C215" s="56" t="s">
        <v>99</v>
      </c>
      <c r="D215" s="48" t="str">
        <f t="shared" si="96"/>
        <v xml:space="preserve"> 546</v>
      </c>
      <c r="E215" s="58" t="s">
        <v>99</v>
      </c>
      <c r="F215" s="50">
        <f t="shared" si="97"/>
        <v>0</v>
      </c>
      <c r="G215" s="51" t="s">
        <v>21</v>
      </c>
      <c r="H215" s="51" t="s">
        <v>51</v>
      </c>
      <c r="I215" s="51" t="s">
        <v>361</v>
      </c>
      <c r="J215" s="52">
        <v>0</v>
      </c>
      <c r="K215" s="61">
        <f t="shared" si="99"/>
        <v>0</v>
      </c>
      <c r="L215" s="58" t="s">
        <v>473</v>
      </c>
      <c r="M215" s="54">
        <f t="shared" si="100"/>
        <v>0</v>
      </c>
      <c r="N215" s="65">
        <v>0</v>
      </c>
      <c r="O215" s="55">
        <f t="shared" si="101"/>
        <v>0</v>
      </c>
      <c r="P215" s="43"/>
      <c r="Q215" s="41" t="s">
        <v>415</v>
      </c>
      <c r="R215" s="10"/>
      <c r="S215" s="10">
        <f t="shared" si="102"/>
        <v>0</v>
      </c>
      <c r="T215" s="10">
        <f t="shared" si="103"/>
        <v>0</v>
      </c>
      <c r="U215" s="11">
        <f t="shared" si="104"/>
        <v>0</v>
      </c>
      <c r="V215" s="12">
        <v>0</v>
      </c>
      <c r="W215" s="11">
        <f t="shared" si="106"/>
        <v>0</v>
      </c>
      <c r="X215" s="26"/>
      <c r="Y215" s="36">
        <v>0</v>
      </c>
      <c r="Z215" s="29">
        <f>T215-Y215</f>
        <v>0</v>
      </c>
      <c r="AA215" s="30" t="e">
        <f>Z215/Y215</f>
        <v>#DIV/0!</v>
      </c>
    </row>
    <row r="216" spans="1:27" ht="14.4" customHeight="1">
      <c r="A216" s="75"/>
      <c r="B216" s="46"/>
      <c r="C216" s="56" t="s">
        <v>238</v>
      </c>
      <c r="D216" s="48" t="str">
        <f t="shared" si="96"/>
        <v xml:space="preserve"> 565</v>
      </c>
      <c r="E216" s="57" t="s">
        <v>238</v>
      </c>
      <c r="F216" s="50">
        <f t="shared" si="97"/>
        <v>0</v>
      </c>
      <c r="G216" s="51" t="s">
        <v>300</v>
      </c>
      <c r="H216" s="51" t="s">
        <v>51</v>
      </c>
      <c r="I216" s="51" t="s">
        <v>361</v>
      </c>
      <c r="J216" s="52">
        <v>77000</v>
      </c>
      <c r="K216" s="61">
        <f t="shared" si="99"/>
        <v>7300</v>
      </c>
      <c r="L216" s="50" t="s">
        <v>24</v>
      </c>
      <c r="M216" s="54">
        <f t="shared" si="100"/>
        <v>69700</v>
      </c>
      <c r="N216" s="65">
        <f>2000+300+600+800+3600</f>
        <v>7300</v>
      </c>
      <c r="O216" s="55">
        <f t="shared" si="101"/>
        <v>77000</v>
      </c>
      <c r="P216" s="43"/>
      <c r="Q216" s="41" t="s">
        <v>432</v>
      </c>
      <c r="R216" s="10"/>
      <c r="S216" s="10">
        <f t="shared" si="102"/>
        <v>77000</v>
      </c>
      <c r="T216" s="10">
        <f t="shared" si="103"/>
        <v>110000</v>
      </c>
      <c r="U216" s="11">
        <f t="shared" si="104"/>
        <v>125714.28571428571</v>
      </c>
      <c r="V216" s="12">
        <f t="shared" ref="V216:V263" si="108">(U216-T216)/U216</f>
        <v>0.12499999999999997</v>
      </c>
      <c r="W216" s="11">
        <f t="shared" si="106"/>
        <v>125800</v>
      </c>
      <c r="X216" s="26">
        <f t="shared" ref="X216:X263" si="109">(T216-O216)/T216</f>
        <v>0.3</v>
      </c>
      <c r="Y216" s="13"/>
      <c r="Z216" s="13"/>
      <c r="AA216" s="13"/>
    </row>
    <row r="217" spans="1:27" ht="14.4" customHeight="1">
      <c r="A217" s="75"/>
      <c r="B217" s="46"/>
      <c r="C217" s="56" t="s">
        <v>98</v>
      </c>
      <c r="D217" s="48" t="str">
        <f t="shared" si="96"/>
        <v xml:space="preserve"> 713</v>
      </c>
      <c r="E217" s="57" t="s">
        <v>98</v>
      </c>
      <c r="F217" s="50">
        <f t="shared" si="97"/>
        <v>0</v>
      </c>
      <c r="G217" s="51" t="s">
        <v>21</v>
      </c>
      <c r="H217" s="51" t="s">
        <v>51</v>
      </c>
      <c r="I217" s="51" t="s">
        <v>361</v>
      </c>
      <c r="J217" s="52">
        <v>84000</v>
      </c>
      <c r="K217" s="61">
        <f>J217</f>
        <v>84000</v>
      </c>
      <c r="L217" s="50" t="s">
        <v>24</v>
      </c>
      <c r="M217" s="54">
        <f t="shared" si="100"/>
        <v>76500</v>
      </c>
      <c r="N217" s="65">
        <f>2000+300+600+1000+3600</f>
        <v>7500</v>
      </c>
      <c r="O217" s="55">
        <f t="shared" si="101"/>
        <v>84000</v>
      </c>
      <c r="P217" s="43"/>
      <c r="Q217" s="41" t="s">
        <v>415</v>
      </c>
      <c r="R217" s="10"/>
      <c r="S217" s="10">
        <f t="shared" si="102"/>
        <v>84000</v>
      </c>
      <c r="T217" s="10">
        <f t="shared" si="103"/>
        <v>120000.00000000001</v>
      </c>
      <c r="U217" s="11">
        <f t="shared" si="104"/>
        <v>137142.85714285716</v>
      </c>
      <c r="V217" s="12">
        <f t="shared" si="108"/>
        <v>0.125</v>
      </c>
      <c r="W217" s="11">
        <f t="shared" si="106"/>
        <v>137200</v>
      </c>
      <c r="X217" s="26">
        <f t="shared" si="109"/>
        <v>0.3000000000000001</v>
      </c>
      <c r="Y217" s="36">
        <v>118650</v>
      </c>
      <c r="Z217" s="29">
        <f t="shared" ref="Z217:Z226" si="110">T217-Y217</f>
        <v>1350.0000000000146</v>
      </c>
      <c r="AA217" s="30">
        <f t="shared" ref="AA217:AA226" si="111">Z217/Y217</f>
        <v>1.137800252844513E-2</v>
      </c>
    </row>
    <row r="218" spans="1:27" ht="14.4" customHeight="1">
      <c r="A218" s="75"/>
      <c r="B218" s="46"/>
      <c r="C218" s="56" t="s">
        <v>100</v>
      </c>
      <c r="D218" s="48" t="str">
        <f t="shared" si="96"/>
        <v xml:space="preserve"> 449</v>
      </c>
      <c r="E218" s="57" t="s">
        <v>100</v>
      </c>
      <c r="F218" s="50">
        <f t="shared" si="97"/>
        <v>0</v>
      </c>
      <c r="G218" s="51" t="s">
        <v>21</v>
      </c>
      <c r="H218" s="51" t="s">
        <v>51</v>
      </c>
      <c r="I218" s="51" t="s">
        <v>361</v>
      </c>
      <c r="J218" s="52">
        <v>72000</v>
      </c>
      <c r="K218" s="61">
        <f t="shared" ref="K218:K263" si="112">J218-M218</f>
        <v>6900</v>
      </c>
      <c r="L218" s="50" t="s">
        <v>24</v>
      </c>
      <c r="M218" s="54">
        <f t="shared" si="100"/>
        <v>65100</v>
      </c>
      <c r="N218" s="65">
        <f>2000+300+600+1000+3000</f>
        <v>6900</v>
      </c>
      <c r="O218" s="55">
        <f t="shared" si="101"/>
        <v>72000</v>
      </c>
      <c r="P218" s="43"/>
      <c r="Q218" s="41" t="s">
        <v>433</v>
      </c>
      <c r="R218" s="10"/>
      <c r="S218" s="10">
        <f t="shared" si="102"/>
        <v>72000</v>
      </c>
      <c r="T218" s="10">
        <f t="shared" si="103"/>
        <v>102857.14285714287</v>
      </c>
      <c r="U218" s="11">
        <f t="shared" si="104"/>
        <v>117551.02040816328</v>
      </c>
      <c r="V218" s="12">
        <f t="shared" si="108"/>
        <v>0.12500000000000003</v>
      </c>
      <c r="W218" s="11">
        <f t="shared" si="106"/>
        <v>117600</v>
      </c>
      <c r="X218" s="26">
        <f t="shared" si="109"/>
        <v>0.3000000000000001</v>
      </c>
      <c r="Y218" s="36">
        <v>98613</v>
      </c>
      <c r="Z218" s="29">
        <f t="shared" si="110"/>
        <v>4244.1428571428696</v>
      </c>
      <c r="AA218" s="30">
        <f t="shared" si="111"/>
        <v>4.3038370774064978E-2</v>
      </c>
    </row>
    <row r="219" spans="1:27" ht="14.4" customHeight="1">
      <c r="A219" s="75"/>
      <c r="B219" s="46"/>
      <c r="C219" s="56" t="s">
        <v>97</v>
      </c>
      <c r="D219" s="48" t="str">
        <f t="shared" si="96"/>
        <v xml:space="preserve"> 252</v>
      </c>
      <c r="E219" s="57" t="s">
        <v>97</v>
      </c>
      <c r="F219" s="50">
        <f t="shared" si="97"/>
        <v>0</v>
      </c>
      <c r="G219" s="51" t="s">
        <v>21</v>
      </c>
      <c r="H219" s="51" t="s">
        <v>51</v>
      </c>
      <c r="I219" s="51" t="s">
        <v>361</v>
      </c>
      <c r="J219" s="52">
        <v>73500</v>
      </c>
      <c r="K219" s="61">
        <f t="shared" si="112"/>
        <v>7500</v>
      </c>
      <c r="L219" s="50" t="s">
        <v>24</v>
      </c>
      <c r="M219" s="54">
        <f t="shared" si="100"/>
        <v>66000</v>
      </c>
      <c r="N219" s="65">
        <f>2000+300+600+1000+3600</f>
        <v>7500</v>
      </c>
      <c r="O219" s="55">
        <f t="shared" si="101"/>
        <v>73500</v>
      </c>
      <c r="P219" s="43"/>
      <c r="Q219" s="41" t="s">
        <v>415</v>
      </c>
      <c r="R219" s="10"/>
      <c r="S219" s="10">
        <f t="shared" si="102"/>
        <v>73500</v>
      </c>
      <c r="T219" s="10">
        <f t="shared" si="103"/>
        <v>105000</v>
      </c>
      <c r="U219" s="11">
        <f t="shared" si="104"/>
        <v>120000</v>
      </c>
      <c r="V219" s="12">
        <f t="shared" si="108"/>
        <v>0.125</v>
      </c>
      <c r="W219" s="11">
        <f t="shared" si="106"/>
        <v>120000</v>
      </c>
      <c r="X219" s="26">
        <f t="shared" si="109"/>
        <v>0.3</v>
      </c>
      <c r="Y219" s="36">
        <v>105000</v>
      </c>
      <c r="Z219" s="29">
        <f t="shared" si="110"/>
        <v>0</v>
      </c>
      <c r="AA219" s="30">
        <f t="shared" si="111"/>
        <v>0</v>
      </c>
    </row>
    <row r="220" spans="1:27" ht="14.4" customHeight="1">
      <c r="A220" s="75"/>
      <c r="B220" s="46"/>
      <c r="C220" s="56" t="s">
        <v>53</v>
      </c>
      <c r="D220" s="48" t="str">
        <f t="shared" si="96"/>
        <v xml:space="preserve"> 697</v>
      </c>
      <c r="E220" s="57" t="s">
        <v>53</v>
      </c>
      <c r="F220" s="50">
        <f t="shared" si="97"/>
        <v>0</v>
      </c>
      <c r="G220" s="51" t="s">
        <v>21</v>
      </c>
      <c r="H220" s="51" t="s">
        <v>51</v>
      </c>
      <c r="I220" s="51" t="s">
        <v>361</v>
      </c>
      <c r="J220" s="52">
        <v>70500</v>
      </c>
      <c r="K220" s="61">
        <f t="shared" si="112"/>
        <v>7500</v>
      </c>
      <c r="L220" s="50" t="s">
        <v>24</v>
      </c>
      <c r="M220" s="54">
        <f t="shared" si="100"/>
        <v>63000</v>
      </c>
      <c r="N220" s="65">
        <f>2000+300+600+1000+3600</f>
        <v>7500</v>
      </c>
      <c r="O220" s="55">
        <f t="shared" si="101"/>
        <v>70500</v>
      </c>
      <c r="P220" s="43"/>
      <c r="Q220" s="41" t="s">
        <v>431</v>
      </c>
      <c r="R220" s="10"/>
      <c r="S220" s="10">
        <f t="shared" si="102"/>
        <v>70500</v>
      </c>
      <c r="T220" s="10">
        <f t="shared" si="103"/>
        <v>100714.28571428572</v>
      </c>
      <c r="U220" s="11">
        <f t="shared" si="104"/>
        <v>115102.04081632654</v>
      </c>
      <c r="V220" s="12">
        <f t="shared" si="108"/>
        <v>0.12499999999999997</v>
      </c>
      <c r="W220" s="11">
        <f t="shared" si="106"/>
        <v>115200</v>
      </c>
      <c r="X220" s="26">
        <f t="shared" si="109"/>
        <v>0.3000000000000001</v>
      </c>
      <c r="Y220" s="36">
        <v>111038</v>
      </c>
      <c r="Z220" s="29">
        <f t="shared" si="110"/>
        <v>-10323.714285714275</v>
      </c>
      <c r="AA220" s="30">
        <f t="shared" si="111"/>
        <v>-9.2974605862085724E-2</v>
      </c>
    </row>
    <row r="221" spans="1:27" ht="14.4" customHeight="1">
      <c r="A221" s="75"/>
      <c r="B221" s="46"/>
      <c r="C221" s="56" t="s">
        <v>52</v>
      </c>
      <c r="D221" s="48" t="str">
        <f t="shared" si="96"/>
        <v xml:space="preserve"> 690</v>
      </c>
      <c r="E221" s="57" t="s">
        <v>52</v>
      </c>
      <c r="F221" s="50">
        <f t="shared" si="97"/>
        <v>0</v>
      </c>
      <c r="G221" s="51" t="s">
        <v>21</v>
      </c>
      <c r="H221" s="51" t="s">
        <v>51</v>
      </c>
      <c r="I221" s="51" t="s">
        <v>361</v>
      </c>
      <c r="J221" s="52">
        <v>75050</v>
      </c>
      <c r="K221" s="61">
        <f t="shared" si="112"/>
        <v>7500</v>
      </c>
      <c r="L221" s="50" t="s">
        <v>24</v>
      </c>
      <c r="M221" s="54">
        <f t="shared" si="100"/>
        <v>67550</v>
      </c>
      <c r="N221" s="65">
        <f>2000+300+600+1000+3600</f>
        <v>7500</v>
      </c>
      <c r="O221" s="55">
        <f t="shared" si="101"/>
        <v>75050</v>
      </c>
      <c r="P221" s="43"/>
      <c r="Q221" s="41" t="s">
        <v>431</v>
      </c>
      <c r="R221" s="10"/>
      <c r="S221" s="10">
        <f t="shared" si="102"/>
        <v>75050</v>
      </c>
      <c r="T221" s="10">
        <f t="shared" si="103"/>
        <v>107214.28571428572</v>
      </c>
      <c r="U221" s="11">
        <f t="shared" si="104"/>
        <v>122530.61224489797</v>
      </c>
      <c r="V221" s="12">
        <f t="shared" si="108"/>
        <v>0.12500000000000003</v>
      </c>
      <c r="W221" s="11">
        <f t="shared" si="106"/>
        <v>122600</v>
      </c>
      <c r="X221" s="26">
        <f t="shared" si="109"/>
        <v>0.30000000000000004</v>
      </c>
      <c r="Y221" s="36">
        <v>107275</v>
      </c>
      <c r="Z221" s="29">
        <f t="shared" si="110"/>
        <v>-60.71428571427532</v>
      </c>
      <c r="AA221" s="30">
        <f t="shared" si="111"/>
        <v>-5.6596863867886568E-4</v>
      </c>
    </row>
    <row r="222" spans="1:27" ht="14.4" customHeight="1">
      <c r="A222" s="75"/>
      <c r="B222" s="46"/>
      <c r="C222" s="56" t="s">
        <v>104</v>
      </c>
      <c r="D222" s="48" t="str">
        <f t="shared" si="96"/>
        <v xml:space="preserve"> 979</v>
      </c>
      <c r="E222" s="57" t="s">
        <v>104</v>
      </c>
      <c r="F222" s="50">
        <f t="shared" si="97"/>
        <v>0</v>
      </c>
      <c r="G222" s="51" t="s">
        <v>21</v>
      </c>
      <c r="H222" s="51" t="s">
        <v>51</v>
      </c>
      <c r="I222" s="51" t="s">
        <v>361</v>
      </c>
      <c r="J222" s="52">
        <v>79500</v>
      </c>
      <c r="K222" s="61">
        <f t="shared" si="112"/>
        <v>7500</v>
      </c>
      <c r="L222" s="50" t="s">
        <v>24</v>
      </c>
      <c r="M222" s="54">
        <f t="shared" si="100"/>
        <v>72000</v>
      </c>
      <c r="N222" s="65">
        <f>2000+300+600+1000+3600</f>
        <v>7500</v>
      </c>
      <c r="O222" s="55">
        <f t="shared" si="101"/>
        <v>79500</v>
      </c>
      <c r="P222" s="43"/>
      <c r="Q222" s="41" t="s">
        <v>415</v>
      </c>
      <c r="R222" s="10"/>
      <c r="S222" s="10">
        <f t="shared" si="102"/>
        <v>79500</v>
      </c>
      <c r="T222" s="10">
        <f t="shared" si="103"/>
        <v>113571.42857142858</v>
      </c>
      <c r="U222" s="11">
        <f t="shared" si="104"/>
        <v>129795.91836734695</v>
      </c>
      <c r="V222" s="12">
        <f t="shared" si="108"/>
        <v>0.12500000000000003</v>
      </c>
      <c r="W222" s="11">
        <f t="shared" si="106"/>
        <v>129800</v>
      </c>
      <c r="X222" s="26">
        <f t="shared" si="109"/>
        <v>0.30000000000000004</v>
      </c>
      <c r="Y222" s="36">
        <v>115063</v>
      </c>
      <c r="Z222" s="29">
        <f t="shared" si="110"/>
        <v>-1491.5714285714203</v>
      </c>
      <c r="AA222" s="30">
        <f t="shared" si="111"/>
        <v>-1.2963084819372172E-2</v>
      </c>
    </row>
    <row r="223" spans="1:27" ht="14.4" customHeight="1">
      <c r="A223" s="75"/>
      <c r="B223" s="46"/>
      <c r="C223" s="56" t="s">
        <v>101</v>
      </c>
      <c r="D223" s="48" t="str">
        <f t="shared" si="96"/>
        <v xml:space="preserve"> 695</v>
      </c>
      <c r="E223" s="57" t="s">
        <v>101</v>
      </c>
      <c r="F223" s="50">
        <f t="shared" si="97"/>
        <v>0</v>
      </c>
      <c r="G223" s="51" t="s">
        <v>21</v>
      </c>
      <c r="H223" s="51" t="s">
        <v>310</v>
      </c>
      <c r="I223" s="51" t="s">
        <v>361</v>
      </c>
      <c r="J223" s="52">
        <v>68000</v>
      </c>
      <c r="K223" s="61">
        <f t="shared" si="112"/>
        <v>7150</v>
      </c>
      <c r="L223" s="50" t="s">
        <v>24</v>
      </c>
      <c r="M223" s="54">
        <f t="shared" si="100"/>
        <v>60850</v>
      </c>
      <c r="N223" s="65">
        <f>2000+300+600+650+3600</f>
        <v>7150</v>
      </c>
      <c r="O223" s="55">
        <f t="shared" si="101"/>
        <v>68000</v>
      </c>
      <c r="P223" s="43"/>
      <c r="Q223" s="41" t="s">
        <v>431</v>
      </c>
      <c r="R223" s="10"/>
      <c r="S223" s="10">
        <f t="shared" si="102"/>
        <v>68000</v>
      </c>
      <c r="T223" s="10">
        <f t="shared" si="103"/>
        <v>97142.857142857145</v>
      </c>
      <c r="U223" s="11">
        <f t="shared" si="104"/>
        <v>111020.40816326531</v>
      </c>
      <c r="V223" s="12">
        <f t="shared" si="108"/>
        <v>0.12500000000000003</v>
      </c>
      <c r="W223" s="11">
        <f t="shared" si="106"/>
        <v>111100</v>
      </c>
      <c r="X223" s="26">
        <f t="shared" si="109"/>
        <v>0.3</v>
      </c>
      <c r="Y223" s="36">
        <v>98613</v>
      </c>
      <c r="Z223" s="29">
        <f t="shared" si="110"/>
        <v>-1470.1428571428551</v>
      </c>
      <c r="AA223" s="30">
        <f t="shared" si="111"/>
        <v>-1.4908205380049841E-2</v>
      </c>
    </row>
    <row r="224" spans="1:27" ht="14.4" customHeight="1">
      <c r="A224" s="75"/>
      <c r="B224" s="46"/>
      <c r="C224" s="56" t="s">
        <v>102</v>
      </c>
      <c r="D224" s="48" t="str">
        <f t="shared" si="96"/>
        <v xml:space="preserve"> 016</v>
      </c>
      <c r="E224" s="57" t="s">
        <v>102</v>
      </c>
      <c r="F224" s="50">
        <f t="shared" si="97"/>
        <v>0</v>
      </c>
      <c r="G224" s="51" t="s">
        <v>21</v>
      </c>
      <c r="H224" s="51" t="s">
        <v>310</v>
      </c>
      <c r="I224" s="51" t="s">
        <v>361</v>
      </c>
      <c r="J224" s="52">
        <v>83800</v>
      </c>
      <c r="K224" s="61">
        <f t="shared" si="112"/>
        <v>6500</v>
      </c>
      <c r="L224" s="50" t="s">
        <v>24</v>
      </c>
      <c r="M224" s="54">
        <f t="shared" si="100"/>
        <v>77300</v>
      </c>
      <c r="N224" s="65">
        <f>2000+300+600+3600</f>
        <v>6500</v>
      </c>
      <c r="O224" s="55">
        <f t="shared" si="101"/>
        <v>83800</v>
      </c>
      <c r="P224" s="44"/>
      <c r="Q224" s="41" t="s">
        <v>434</v>
      </c>
      <c r="R224" s="10"/>
      <c r="S224" s="10">
        <f t="shared" si="102"/>
        <v>83800</v>
      </c>
      <c r="T224" s="10">
        <f t="shared" si="103"/>
        <v>119714.28571428572</v>
      </c>
      <c r="U224" s="11">
        <f t="shared" si="104"/>
        <v>136816.32653061225</v>
      </c>
      <c r="V224" s="12">
        <f t="shared" si="108"/>
        <v>0.12499999999999994</v>
      </c>
      <c r="W224" s="11">
        <f t="shared" si="106"/>
        <v>136900</v>
      </c>
      <c r="X224" s="26">
        <f t="shared" si="109"/>
        <v>0.30000000000000004</v>
      </c>
      <c r="Y224" s="36">
        <v>121188</v>
      </c>
      <c r="Z224" s="29">
        <f t="shared" si="110"/>
        <v>-1473.7142857142753</v>
      </c>
      <c r="AA224" s="30">
        <f t="shared" si="111"/>
        <v>-1.216056280914179E-2</v>
      </c>
    </row>
    <row r="225" spans="1:27" ht="14.4" customHeight="1">
      <c r="A225" s="75"/>
      <c r="B225" s="46"/>
      <c r="C225" s="56" t="s">
        <v>54</v>
      </c>
      <c r="D225" s="48" t="str">
        <f t="shared" si="96"/>
        <v xml:space="preserve"> 318</v>
      </c>
      <c r="E225" s="57" t="s">
        <v>54</v>
      </c>
      <c r="F225" s="50">
        <f t="shared" si="97"/>
        <v>0</v>
      </c>
      <c r="G225" s="51" t="s">
        <v>21</v>
      </c>
      <c r="H225" s="51" t="s">
        <v>51</v>
      </c>
      <c r="I225" s="51" t="s">
        <v>361</v>
      </c>
      <c r="J225" s="52">
        <v>84300</v>
      </c>
      <c r="K225" s="61">
        <f t="shared" si="112"/>
        <v>7500</v>
      </c>
      <c r="L225" s="50" t="s">
        <v>24</v>
      </c>
      <c r="M225" s="54">
        <f t="shared" si="100"/>
        <v>76800</v>
      </c>
      <c r="N225" s="65">
        <v>7500</v>
      </c>
      <c r="O225" s="55">
        <f t="shared" si="101"/>
        <v>84300</v>
      </c>
      <c r="P225" s="43"/>
      <c r="Q225" s="41" t="s">
        <v>435</v>
      </c>
      <c r="R225" s="10"/>
      <c r="S225" s="10">
        <f t="shared" si="102"/>
        <v>84300</v>
      </c>
      <c r="T225" s="10">
        <f t="shared" si="103"/>
        <v>120428.57142857143</v>
      </c>
      <c r="U225" s="11">
        <f t="shared" si="104"/>
        <v>137632.6530612245</v>
      </c>
      <c r="V225" s="12">
        <f t="shared" si="108"/>
        <v>0.125</v>
      </c>
      <c r="W225" s="11">
        <f t="shared" si="106"/>
        <v>137700</v>
      </c>
      <c r="X225" s="26">
        <f t="shared" si="109"/>
        <v>0.30000000000000004</v>
      </c>
      <c r="Y225" s="36">
        <v>121888</v>
      </c>
      <c r="Z225" s="29">
        <f t="shared" si="110"/>
        <v>-1459.4285714285652</v>
      </c>
      <c r="AA225" s="30">
        <f t="shared" si="111"/>
        <v>-1.1973521359186837E-2</v>
      </c>
    </row>
    <row r="226" spans="1:27" ht="14.4" customHeight="1">
      <c r="A226" s="75"/>
      <c r="B226" s="46"/>
      <c r="C226" s="56" t="s">
        <v>55</v>
      </c>
      <c r="D226" s="48" t="str">
        <f t="shared" si="96"/>
        <v xml:space="preserve"> 194</v>
      </c>
      <c r="E226" s="57" t="s">
        <v>55</v>
      </c>
      <c r="F226" s="50">
        <f t="shared" si="97"/>
        <v>0</v>
      </c>
      <c r="G226" s="51" t="s">
        <v>21</v>
      </c>
      <c r="H226" s="51" t="s">
        <v>51</v>
      </c>
      <c r="I226" s="51" t="s">
        <v>361</v>
      </c>
      <c r="J226" s="52">
        <v>83000</v>
      </c>
      <c r="K226" s="61">
        <f t="shared" si="112"/>
        <v>7500</v>
      </c>
      <c r="L226" s="50" t="s">
        <v>24</v>
      </c>
      <c r="M226" s="54">
        <f t="shared" si="100"/>
        <v>75500</v>
      </c>
      <c r="N226" s="65">
        <v>7500</v>
      </c>
      <c r="O226" s="55">
        <f t="shared" si="101"/>
        <v>83000</v>
      </c>
      <c r="P226" s="44"/>
      <c r="Q226" s="41" t="s">
        <v>415</v>
      </c>
      <c r="R226" s="10"/>
      <c r="S226" s="10">
        <f t="shared" si="102"/>
        <v>83000</v>
      </c>
      <c r="T226" s="10">
        <f t="shared" si="103"/>
        <v>118571.42857142858</v>
      </c>
      <c r="U226" s="11">
        <f t="shared" si="104"/>
        <v>135510.20408163266</v>
      </c>
      <c r="V226" s="12">
        <f t="shared" si="108"/>
        <v>0.125</v>
      </c>
      <c r="W226" s="11">
        <f t="shared" si="106"/>
        <v>135600</v>
      </c>
      <c r="X226" s="26">
        <f t="shared" si="109"/>
        <v>0.30000000000000004</v>
      </c>
      <c r="Y226" s="36">
        <v>118650</v>
      </c>
      <c r="Z226" s="29">
        <f t="shared" si="110"/>
        <v>-78.571428571420256</v>
      </c>
      <c r="AA226" s="30">
        <f t="shared" si="111"/>
        <v>-6.6221178736974515E-4</v>
      </c>
    </row>
    <row r="227" spans="1:27" ht="14.4" customHeight="1">
      <c r="A227" s="75"/>
      <c r="B227" s="46"/>
      <c r="C227" s="56" t="s">
        <v>239</v>
      </c>
      <c r="D227" s="48" t="str">
        <f t="shared" si="96"/>
        <v xml:space="preserve"> 648</v>
      </c>
      <c r="E227" s="57" t="s">
        <v>239</v>
      </c>
      <c r="F227" s="50">
        <f t="shared" si="97"/>
        <v>0</v>
      </c>
      <c r="G227" s="51" t="s">
        <v>300</v>
      </c>
      <c r="H227" s="51" t="s">
        <v>51</v>
      </c>
      <c r="I227" s="51" t="s">
        <v>361</v>
      </c>
      <c r="J227" s="52">
        <v>75000</v>
      </c>
      <c r="K227" s="61">
        <f t="shared" si="112"/>
        <v>7500</v>
      </c>
      <c r="L227" s="50" t="s">
        <v>24</v>
      </c>
      <c r="M227" s="54">
        <f t="shared" si="100"/>
        <v>67500</v>
      </c>
      <c r="N227" s="65">
        <f>2000+300+600+1000+3600</f>
        <v>7500</v>
      </c>
      <c r="O227" s="55">
        <f t="shared" si="101"/>
        <v>75000</v>
      </c>
      <c r="P227" s="43"/>
      <c r="Q227" s="41" t="s">
        <v>415</v>
      </c>
      <c r="R227" s="10"/>
      <c r="S227" s="10">
        <f t="shared" si="102"/>
        <v>75000</v>
      </c>
      <c r="T227" s="10">
        <f t="shared" si="103"/>
        <v>107142.85714285714</v>
      </c>
      <c r="U227" s="11">
        <f t="shared" si="104"/>
        <v>122448.97959183673</v>
      </c>
      <c r="V227" s="12">
        <f t="shared" si="108"/>
        <v>0.12499999999999996</v>
      </c>
      <c r="W227" s="11">
        <f t="shared" si="106"/>
        <v>122500</v>
      </c>
      <c r="X227" s="26">
        <f t="shared" si="109"/>
        <v>0.3</v>
      </c>
      <c r="Y227" s="13"/>
      <c r="Z227" s="13"/>
      <c r="AA227" s="13"/>
    </row>
    <row r="228" spans="1:27" ht="14.4" customHeight="1">
      <c r="A228" s="75"/>
      <c r="B228" s="46"/>
      <c r="C228" s="56" t="s">
        <v>240</v>
      </c>
      <c r="D228" s="48" t="str">
        <f t="shared" si="96"/>
        <v xml:space="preserve"> 163</v>
      </c>
      <c r="E228" s="57" t="s">
        <v>240</v>
      </c>
      <c r="F228" s="50">
        <f t="shared" si="97"/>
        <v>0</v>
      </c>
      <c r="G228" s="51" t="s">
        <v>300</v>
      </c>
      <c r="H228" s="51" t="s">
        <v>51</v>
      </c>
      <c r="I228" s="51" t="s">
        <v>361</v>
      </c>
      <c r="J228" s="52">
        <v>74000</v>
      </c>
      <c r="K228" s="61">
        <f t="shared" si="112"/>
        <v>7500</v>
      </c>
      <c r="L228" s="50" t="s">
        <v>24</v>
      </c>
      <c r="M228" s="54">
        <f t="shared" si="100"/>
        <v>66500</v>
      </c>
      <c r="N228" s="65">
        <f>2000+300+600+1000+3600</f>
        <v>7500</v>
      </c>
      <c r="O228" s="55">
        <f t="shared" si="101"/>
        <v>74000</v>
      </c>
      <c r="P228" s="43"/>
      <c r="Q228" s="41" t="s">
        <v>415</v>
      </c>
      <c r="R228" s="10"/>
      <c r="S228" s="10">
        <f t="shared" si="102"/>
        <v>74000</v>
      </c>
      <c r="T228" s="10">
        <f t="shared" si="103"/>
        <v>105714.28571428572</v>
      </c>
      <c r="U228" s="11">
        <f t="shared" si="104"/>
        <v>120816.32653061226</v>
      </c>
      <c r="V228" s="12">
        <f t="shared" si="108"/>
        <v>0.12500000000000006</v>
      </c>
      <c r="W228" s="11">
        <f t="shared" si="106"/>
        <v>120900</v>
      </c>
      <c r="X228" s="26">
        <f t="shared" si="109"/>
        <v>0.30000000000000004</v>
      </c>
      <c r="Y228" s="13"/>
      <c r="Z228" s="13"/>
      <c r="AA228" s="13"/>
    </row>
    <row r="229" spans="1:27" ht="14.4" customHeight="1">
      <c r="A229" s="75"/>
      <c r="B229" s="46"/>
      <c r="C229" s="56" t="s">
        <v>241</v>
      </c>
      <c r="D229" s="48" t="str">
        <f t="shared" si="96"/>
        <v xml:space="preserve"> 672</v>
      </c>
      <c r="E229" s="57" t="s">
        <v>241</v>
      </c>
      <c r="F229" s="50">
        <f t="shared" si="97"/>
        <v>0</v>
      </c>
      <c r="G229" s="51" t="s">
        <v>300</v>
      </c>
      <c r="H229" s="51" t="s">
        <v>51</v>
      </c>
      <c r="I229" s="51" t="s">
        <v>361</v>
      </c>
      <c r="J229" s="52">
        <v>59500</v>
      </c>
      <c r="K229" s="61">
        <f t="shared" si="112"/>
        <v>6900</v>
      </c>
      <c r="L229" s="50" t="s">
        <v>24</v>
      </c>
      <c r="M229" s="54">
        <f t="shared" si="100"/>
        <v>52600</v>
      </c>
      <c r="N229" s="65">
        <f>2000+300+600+1000+3000</f>
        <v>6900</v>
      </c>
      <c r="O229" s="55">
        <f t="shared" si="101"/>
        <v>59500</v>
      </c>
      <c r="P229" s="43"/>
      <c r="Q229" s="41" t="s">
        <v>433</v>
      </c>
      <c r="R229" s="10"/>
      <c r="S229" s="10">
        <f t="shared" si="102"/>
        <v>59500</v>
      </c>
      <c r="T229" s="10">
        <f t="shared" si="103"/>
        <v>85000</v>
      </c>
      <c r="U229" s="11">
        <f t="shared" si="104"/>
        <v>97142.857142857145</v>
      </c>
      <c r="V229" s="12">
        <f t="shared" si="108"/>
        <v>0.12500000000000003</v>
      </c>
      <c r="W229" s="11">
        <f t="shared" si="106"/>
        <v>97200</v>
      </c>
      <c r="X229" s="26">
        <f t="shared" si="109"/>
        <v>0.3</v>
      </c>
      <c r="Y229" s="13"/>
      <c r="Z229" s="13"/>
      <c r="AA229" s="14"/>
    </row>
    <row r="230" spans="1:27" ht="14.4" customHeight="1">
      <c r="A230" s="75"/>
      <c r="B230" s="46"/>
      <c r="C230" s="56" t="s">
        <v>56</v>
      </c>
      <c r="D230" s="48" t="str">
        <f t="shared" si="96"/>
        <v xml:space="preserve"> 126</v>
      </c>
      <c r="E230" s="57" t="s">
        <v>56</v>
      </c>
      <c r="F230" s="50">
        <f t="shared" si="97"/>
        <v>0</v>
      </c>
      <c r="G230" s="51" t="s">
        <v>300</v>
      </c>
      <c r="H230" s="51" t="s">
        <v>51</v>
      </c>
      <c r="I230" s="51" t="s">
        <v>361</v>
      </c>
      <c r="J230" s="52">
        <v>77000</v>
      </c>
      <c r="K230" s="61">
        <f t="shared" si="112"/>
        <v>7500</v>
      </c>
      <c r="L230" s="50" t="s">
        <v>24</v>
      </c>
      <c r="M230" s="54">
        <f t="shared" si="100"/>
        <v>69500</v>
      </c>
      <c r="N230" s="65">
        <f>2000+300+600+1000+3600</f>
        <v>7500</v>
      </c>
      <c r="O230" s="55">
        <f t="shared" si="101"/>
        <v>77000</v>
      </c>
      <c r="P230" s="43"/>
      <c r="Q230" s="41" t="s">
        <v>415</v>
      </c>
      <c r="R230" s="10"/>
      <c r="S230" s="10">
        <f t="shared" si="102"/>
        <v>77000</v>
      </c>
      <c r="T230" s="10">
        <f t="shared" si="103"/>
        <v>110000</v>
      </c>
      <c r="U230" s="11">
        <f t="shared" si="104"/>
        <v>125714.28571428571</v>
      </c>
      <c r="V230" s="12">
        <f t="shared" si="108"/>
        <v>0.12499999999999997</v>
      </c>
      <c r="W230" s="11">
        <f t="shared" si="106"/>
        <v>125800</v>
      </c>
      <c r="X230" s="26">
        <f t="shared" si="109"/>
        <v>0.3</v>
      </c>
      <c r="Y230" s="13"/>
      <c r="Z230" s="13"/>
      <c r="AA230" s="13"/>
    </row>
    <row r="231" spans="1:27" ht="14.4" customHeight="1">
      <c r="A231" s="75"/>
      <c r="B231" s="46"/>
      <c r="C231" s="56" t="s">
        <v>242</v>
      </c>
      <c r="D231" s="48" t="str">
        <f t="shared" si="96"/>
        <v xml:space="preserve"> 813</v>
      </c>
      <c r="E231" s="57" t="s">
        <v>242</v>
      </c>
      <c r="F231" s="50">
        <f t="shared" si="97"/>
        <v>0</v>
      </c>
      <c r="G231" s="51" t="s">
        <v>300</v>
      </c>
      <c r="H231" s="51" t="s">
        <v>51</v>
      </c>
      <c r="I231" s="51" t="s">
        <v>361</v>
      </c>
      <c r="J231" s="52">
        <v>80000</v>
      </c>
      <c r="K231" s="61">
        <f t="shared" si="112"/>
        <v>7500</v>
      </c>
      <c r="L231" s="50" t="s">
        <v>24</v>
      </c>
      <c r="M231" s="54">
        <f t="shared" si="100"/>
        <v>72500</v>
      </c>
      <c r="N231" s="65">
        <v>7500</v>
      </c>
      <c r="O231" s="55">
        <f t="shared" si="101"/>
        <v>80000</v>
      </c>
      <c r="P231" s="43"/>
      <c r="Q231" s="41" t="s">
        <v>415</v>
      </c>
      <c r="R231" s="10"/>
      <c r="S231" s="10">
        <f t="shared" si="102"/>
        <v>80000</v>
      </c>
      <c r="T231" s="10">
        <f t="shared" si="103"/>
        <v>114285.71428571429</v>
      </c>
      <c r="U231" s="11">
        <f t="shared" si="104"/>
        <v>130612.24489795919</v>
      </c>
      <c r="V231" s="12">
        <f t="shared" si="108"/>
        <v>0.12499999999999999</v>
      </c>
      <c r="W231" s="11">
        <f t="shared" si="106"/>
        <v>130700</v>
      </c>
      <c r="X231" s="26">
        <f t="shared" si="109"/>
        <v>0.30000000000000004</v>
      </c>
      <c r="Y231" s="13"/>
      <c r="Z231" s="13"/>
      <c r="AA231" s="14"/>
    </row>
    <row r="232" spans="1:27" ht="14.4" customHeight="1">
      <c r="A232" s="75"/>
      <c r="B232" s="46"/>
      <c r="C232" s="56" t="s">
        <v>243</v>
      </c>
      <c r="D232" s="48" t="str">
        <f t="shared" si="96"/>
        <v xml:space="preserve"> 601</v>
      </c>
      <c r="E232" s="57" t="s">
        <v>243</v>
      </c>
      <c r="F232" s="50">
        <f t="shared" si="97"/>
        <v>0</v>
      </c>
      <c r="G232" s="51" t="s">
        <v>300</v>
      </c>
      <c r="H232" s="51" t="s">
        <v>51</v>
      </c>
      <c r="I232" s="51" t="s">
        <v>361</v>
      </c>
      <c r="J232" s="52">
        <v>87000</v>
      </c>
      <c r="K232" s="61">
        <f t="shared" si="112"/>
        <v>6700</v>
      </c>
      <c r="L232" s="50" t="s">
        <v>24</v>
      </c>
      <c r="M232" s="54">
        <f t="shared" si="100"/>
        <v>80300</v>
      </c>
      <c r="N232" s="65">
        <f>2000+300+600+800+3000</f>
        <v>6700</v>
      </c>
      <c r="O232" s="55">
        <f t="shared" si="101"/>
        <v>87000</v>
      </c>
      <c r="P232" s="43"/>
      <c r="Q232" s="41" t="s">
        <v>436</v>
      </c>
      <c r="R232" s="10"/>
      <c r="S232" s="10">
        <f t="shared" si="102"/>
        <v>87000</v>
      </c>
      <c r="T232" s="10">
        <f t="shared" si="103"/>
        <v>124285.71428571429</v>
      </c>
      <c r="U232" s="11">
        <f t="shared" si="104"/>
        <v>142040.81632653062</v>
      </c>
      <c r="V232" s="12">
        <f t="shared" si="108"/>
        <v>0.12500000000000003</v>
      </c>
      <c r="W232" s="11">
        <f t="shared" si="106"/>
        <v>142100</v>
      </c>
      <c r="X232" s="26">
        <f t="shared" si="109"/>
        <v>0.30000000000000004</v>
      </c>
      <c r="Y232" s="13"/>
      <c r="Z232" s="13"/>
      <c r="AA232" s="14"/>
    </row>
    <row r="233" spans="1:27" ht="14.4" customHeight="1">
      <c r="A233" s="75"/>
      <c r="B233" s="46"/>
      <c r="C233" s="56" t="s">
        <v>297</v>
      </c>
      <c r="D233" s="48" t="str">
        <f t="shared" si="96"/>
        <v xml:space="preserve"> 817</v>
      </c>
      <c r="E233" s="57" t="s">
        <v>297</v>
      </c>
      <c r="F233" s="50">
        <f t="shared" si="97"/>
        <v>0</v>
      </c>
      <c r="G233" s="51" t="s">
        <v>300</v>
      </c>
      <c r="H233" s="51" t="s">
        <v>329</v>
      </c>
      <c r="I233" s="51" t="s">
        <v>373</v>
      </c>
      <c r="J233" s="62">
        <f>M233</f>
        <v>52500</v>
      </c>
      <c r="K233" s="61">
        <f t="shared" si="112"/>
        <v>0</v>
      </c>
      <c r="L233" s="63" t="s">
        <v>23</v>
      </c>
      <c r="M233" s="67">
        <v>52500</v>
      </c>
      <c r="N233" s="65">
        <f>2000+200+250+300+800+600</f>
        <v>4150</v>
      </c>
      <c r="O233" s="55">
        <f t="shared" si="101"/>
        <v>56650</v>
      </c>
      <c r="P233" s="43"/>
      <c r="Q233" s="41" t="s">
        <v>469</v>
      </c>
      <c r="R233" s="10"/>
      <c r="S233" s="10">
        <f t="shared" si="102"/>
        <v>56650</v>
      </c>
      <c r="T233" s="10">
        <f t="shared" si="103"/>
        <v>80928.571428571435</v>
      </c>
      <c r="U233" s="11">
        <f t="shared" si="104"/>
        <v>92489.795918367352</v>
      </c>
      <c r="V233" s="12">
        <f t="shared" si="108"/>
        <v>0.12499999999999999</v>
      </c>
      <c r="W233" s="11">
        <f t="shared" si="106"/>
        <v>92500</v>
      </c>
      <c r="X233" s="26">
        <f t="shared" si="109"/>
        <v>0.30000000000000004</v>
      </c>
      <c r="Y233" s="13"/>
      <c r="Z233" s="13"/>
      <c r="AA233" s="14"/>
    </row>
    <row r="234" spans="1:27" ht="14.4" customHeight="1">
      <c r="A234" s="75"/>
      <c r="B234" s="46"/>
      <c r="C234" s="56" t="s">
        <v>298</v>
      </c>
      <c r="D234" s="48" t="str">
        <f t="shared" si="96"/>
        <v xml:space="preserve"> 983</v>
      </c>
      <c r="E234" s="57" t="s">
        <v>298</v>
      </c>
      <c r="F234" s="50">
        <f t="shared" si="97"/>
        <v>0</v>
      </c>
      <c r="G234" s="51" t="s">
        <v>300</v>
      </c>
      <c r="H234" s="51" t="s">
        <v>330</v>
      </c>
      <c r="I234" s="51" t="s">
        <v>373</v>
      </c>
      <c r="J234" s="62">
        <f>M234</f>
        <v>71500</v>
      </c>
      <c r="K234" s="61">
        <f t="shared" si="112"/>
        <v>0</v>
      </c>
      <c r="L234" s="63" t="s">
        <v>23</v>
      </c>
      <c r="M234" s="67">
        <v>71500</v>
      </c>
      <c r="N234" s="65">
        <f>2000+200+350+600+300+3000</f>
        <v>6450</v>
      </c>
      <c r="O234" s="55">
        <f t="shared" si="101"/>
        <v>77950</v>
      </c>
      <c r="P234" s="43"/>
      <c r="Q234" s="41" t="s">
        <v>470</v>
      </c>
      <c r="R234" s="10"/>
      <c r="S234" s="10">
        <f t="shared" si="102"/>
        <v>77950</v>
      </c>
      <c r="T234" s="10">
        <f t="shared" si="103"/>
        <v>111357.14285714287</v>
      </c>
      <c r="U234" s="11">
        <f t="shared" si="104"/>
        <v>127265.30612244899</v>
      </c>
      <c r="V234" s="12">
        <f t="shared" si="108"/>
        <v>0.125</v>
      </c>
      <c r="W234" s="11">
        <f t="shared" si="106"/>
        <v>127300</v>
      </c>
      <c r="X234" s="26">
        <f t="shared" si="109"/>
        <v>0.3000000000000001</v>
      </c>
      <c r="Y234" s="13"/>
      <c r="Z234" s="13"/>
      <c r="AA234" s="13"/>
    </row>
    <row r="235" spans="1:27" ht="14.4" customHeight="1">
      <c r="A235" s="75"/>
      <c r="B235" s="46"/>
      <c r="C235" s="56" t="s">
        <v>299</v>
      </c>
      <c r="D235" s="48" t="str">
        <f t="shared" si="96"/>
        <v xml:space="preserve"> 793</v>
      </c>
      <c r="E235" s="57" t="s">
        <v>299</v>
      </c>
      <c r="F235" s="50">
        <f t="shared" si="97"/>
        <v>0</v>
      </c>
      <c r="G235" s="51" t="s">
        <v>300</v>
      </c>
      <c r="H235" s="51" t="s">
        <v>31</v>
      </c>
      <c r="I235" s="51" t="s">
        <v>373</v>
      </c>
      <c r="J235" s="62">
        <f>M235</f>
        <v>66000</v>
      </c>
      <c r="K235" s="61">
        <f t="shared" si="112"/>
        <v>0</v>
      </c>
      <c r="L235" s="63" t="s">
        <v>23</v>
      </c>
      <c r="M235" s="67">
        <v>66000</v>
      </c>
      <c r="N235" s="65">
        <f>2000+200+350+300+800+600</f>
        <v>4250</v>
      </c>
      <c r="O235" s="55">
        <f>N235+M235</f>
        <v>70250</v>
      </c>
      <c r="P235" s="43"/>
      <c r="Q235" s="41" t="s">
        <v>469</v>
      </c>
      <c r="R235" s="10"/>
      <c r="S235" s="10">
        <f t="shared" si="102"/>
        <v>70250</v>
      </c>
      <c r="T235" s="10">
        <f t="shared" si="103"/>
        <v>100357.14285714287</v>
      </c>
      <c r="U235" s="11">
        <f t="shared" si="104"/>
        <v>114693.87755102043</v>
      </c>
      <c r="V235" s="12">
        <f t="shared" si="108"/>
        <v>0.12500000000000006</v>
      </c>
      <c r="W235" s="11">
        <f t="shared" si="106"/>
        <v>114700</v>
      </c>
      <c r="X235" s="26">
        <f t="shared" si="109"/>
        <v>0.3000000000000001</v>
      </c>
      <c r="Y235" s="13"/>
      <c r="Z235" s="13"/>
      <c r="AA235" s="14"/>
    </row>
    <row r="236" spans="1:27" ht="14.4" customHeight="1">
      <c r="A236" s="75"/>
      <c r="B236" s="46"/>
      <c r="C236" s="56" t="s">
        <v>162</v>
      </c>
      <c r="D236" s="48" t="str">
        <f t="shared" si="96"/>
        <v xml:space="preserve"> 946</v>
      </c>
      <c r="E236" s="57" t="s">
        <v>162</v>
      </c>
      <c r="F236" s="50">
        <f t="shared" si="97"/>
        <v>0</v>
      </c>
      <c r="G236" s="51" t="s">
        <v>300</v>
      </c>
      <c r="H236" s="51" t="s">
        <v>60</v>
      </c>
      <c r="I236" s="51" t="s">
        <v>340</v>
      </c>
      <c r="J236" s="52">
        <v>38000</v>
      </c>
      <c r="K236" s="61">
        <f t="shared" si="112"/>
        <v>5900</v>
      </c>
      <c r="L236" s="50" t="s">
        <v>24</v>
      </c>
      <c r="M236" s="54">
        <f>J236-N236</f>
        <v>32100</v>
      </c>
      <c r="N236" s="54">
        <f>2000+300+600+1000+2000</f>
        <v>5900</v>
      </c>
      <c r="O236" s="55">
        <f t="shared" ref="O236:O263" si="113">M236+N236</f>
        <v>38000</v>
      </c>
      <c r="P236" s="43"/>
      <c r="Q236" s="41" t="s">
        <v>390</v>
      </c>
      <c r="R236" s="10"/>
      <c r="S236" s="10">
        <f t="shared" si="102"/>
        <v>38000</v>
      </c>
      <c r="T236" s="10">
        <f t="shared" si="103"/>
        <v>54285.71428571429</v>
      </c>
      <c r="U236" s="11">
        <f t="shared" si="104"/>
        <v>62040.816326530614</v>
      </c>
      <c r="V236" s="12">
        <f t="shared" si="108"/>
        <v>0.12499999999999996</v>
      </c>
      <c r="W236" s="11">
        <f t="shared" si="106"/>
        <v>62100</v>
      </c>
      <c r="X236" s="26">
        <f t="shared" si="109"/>
        <v>0.30000000000000004</v>
      </c>
      <c r="Y236" s="13"/>
      <c r="Z236" s="13"/>
      <c r="AA236" s="13"/>
    </row>
    <row r="237" spans="1:27" ht="14.4" customHeight="1">
      <c r="A237" s="75"/>
      <c r="B237" s="46"/>
      <c r="C237" s="56" t="s">
        <v>163</v>
      </c>
      <c r="D237" s="48" t="str">
        <f t="shared" si="96"/>
        <v xml:space="preserve"> 418</v>
      </c>
      <c r="E237" s="57" t="s">
        <v>163</v>
      </c>
      <c r="F237" s="50">
        <f t="shared" si="97"/>
        <v>0</v>
      </c>
      <c r="G237" s="51" t="s">
        <v>300</v>
      </c>
      <c r="H237" s="51" t="s">
        <v>51</v>
      </c>
      <c r="I237" s="51" t="s">
        <v>340</v>
      </c>
      <c r="J237" s="52">
        <v>37000</v>
      </c>
      <c r="K237" s="61">
        <f t="shared" si="112"/>
        <v>4900</v>
      </c>
      <c r="L237" s="50" t="s">
        <v>24</v>
      </c>
      <c r="M237" s="54">
        <f>J237-N237</f>
        <v>32100</v>
      </c>
      <c r="N237" s="54">
        <f>2000+300+600+2000</f>
        <v>4900</v>
      </c>
      <c r="O237" s="55">
        <f t="shared" si="113"/>
        <v>37000</v>
      </c>
      <c r="P237" s="44"/>
      <c r="Q237" s="41" t="s">
        <v>392</v>
      </c>
      <c r="R237" s="10"/>
      <c r="S237" s="10">
        <f t="shared" si="102"/>
        <v>37000</v>
      </c>
      <c r="T237" s="10">
        <f t="shared" si="103"/>
        <v>52857.142857142862</v>
      </c>
      <c r="U237" s="11">
        <f t="shared" si="104"/>
        <v>60408.163265306132</v>
      </c>
      <c r="V237" s="12">
        <f t="shared" si="108"/>
        <v>0.12500000000000006</v>
      </c>
      <c r="W237" s="11">
        <f t="shared" si="106"/>
        <v>60500</v>
      </c>
      <c r="X237" s="26">
        <f t="shared" si="109"/>
        <v>0.30000000000000004</v>
      </c>
      <c r="Y237" s="13"/>
      <c r="Z237" s="13"/>
      <c r="AA237" s="13"/>
    </row>
    <row r="238" spans="1:27" ht="14.4" customHeight="1">
      <c r="A238" s="75"/>
      <c r="B238" s="46"/>
      <c r="C238" s="56" t="s">
        <v>164</v>
      </c>
      <c r="D238" s="48" t="str">
        <f t="shared" si="96"/>
        <v xml:space="preserve"> 585</v>
      </c>
      <c r="E238" s="57" t="s">
        <v>164</v>
      </c>
      <c r="F238" s="50">
        <f t="shared" si="97"/>
        <v>0</v>
      </c>
      <c r="G238" s="51" t="s">
        <v>300</v>
      </c>
      <c r="H238" s="51" t="s">
        <v>51</v>
      </c>
      <c r="I238" s="51" t="s">
        <v>340</v>
      </c>
      <c r="J238" s="52">
        <v>60000</v>
      </c>
      <c r="K238" s="61">
        <f t="shared" si="112"/>
        <v>5900</v>
      </c>
      <c r="L238" s="50" t="s">
        <v>24</v>
      </c>
      <c r="M238" s="54">
        <f>J238-N238</f>
        <v>54100</v>
      </c>
      <c r="N238" s="54">
        <f>2000+300+600+3000</f>
        <v>5900</v>
      </c>
      <c r="O238" s="55">
        <f t="shared" si="113"/>
        <v>60000</v>
      </c>
      <c r="P238" s="44"/>
      <c r="Q238" s="41" t="s">
        <v>384</v>
      </c>
      <c r="R238" s="10"/>
      <c r="S238" s="10">
        <f t="shared" si="102"/>
        <v>60000</v>
      </c>
      <c r="T238" s="10">
        <f t="shared" si="103"/>
        <v>85714.285714285725</v>
      </c>
      <c r="U238" s="11">
        <f t="shared" si="104"/>
        <v>97959.183673469393</v>
      </c>
      <c r="V238" s="12">
        <f t="shared" si="108"/>
        <v>0.12499999999999994</v>
      </c>
      <c r="W238" s="11">
        <f t="shared" si="106"/>
        <v>98000</v>
      </c>
      <c r="X238" s="26">
        <f t="shared" si="109"/>
        <v>0.3000000000000001</v>
      </c>
      <c r="Y238" s="13"/>
      <c r="Z238" s="13"/>
      <c r="AA238" s="14"/>
    </row>
    <row r="239" spans="1:27" ht="14.4" customHeight="1">
      <c r="A239" s="75"/>
      <c r="B239" s="46"/>
      <c r="C239" s="56" t="s">
        <v>165</v>
      </c>
      <c r="D239" s="48" t="str">
        <f t="shared" si="96"/>
        <v xml:space="preserve"> 354</v>
      </c>
      <c r="E239" s="57" t="s">
        <v>165</v>
      </c>
      <c r="F239" s="50">
        <f t="shared" si="97"/>
        <v>0</v>
      </c>
      <c r="G239" s="51" t="s">
        <v>300</v>
      </c>
      <c r="H239" s="51" t="s">
        <v>51</v>
      </c>
      <c r="I239" s="51" t="s">
        <v>340</v>
      </c>
      <c r="J239" s="52">
        <v>69000</v>
      </c>
      <c r="K239" s="53">
        <f t="shared" si="112"/>
        <v>6900</v>
      </c>
      <c r="L239" s="50" t="s">
        <v>24</v>
      </c>
      <c r="M239" s="54">
        <f>J239-N239</f>
        <v>62100</v>
      </c>
      <c r="N239" s="54">
        <f>2000+300+600+1000+3000</f>
        <v>6900</v>
      </c>
      <c r="O239" s="55">
        <f t="shared" si="113"/>
        <v>69000</v>
      </c>
      <c r="P239" s="42"/>
      <c r="Q239" s="41" t="s">
        <v>395</v>
      </c>
      <c r="R239" s="10"/>
      <c r="S239" s="10">
        <f t="shared" si="102"/>
        <v>69000</v>
      </c>
      <c r="T239" s="10">
        <f t="shared" si="103"/>
        <v>98571.42857142858</v>
      </c>
      <c r="U239" s="11">
        <f t="shared" si="104"/>
        <v>112653.06122448981</v>
      </c>
      <c r="V239" s="12">
        <f t="shared" si="108"/>
        <v>0.12500000000000003</v>
      </c>
      <c r="W239" s="11">
        <f t="shared" si="106"/>
        <v>112700</v>
      </c>
      <c r="X239" s="26">
        <f t="shared" si="109"/>
        <v>0.30000000000000004</v>
      </c>
      <c r="Y239" s="13"/>
      <c r="Z239" s="13"/>
      <c r="AA239" s="13"/>
    </row>
    <row r="240" spans="1:27" ht="14.4" customHeight="1">
      <c r="A240" s="75"/>
      <c r="B240" s="46"/>
      <c r="C240" s="56" t="s">
        <v>166</v>
      </c>
      <c r="D240" s="48" t="str">
        <f t="shared" si="96"/>
        <v xml:space="preserve"> 122</v>
      </c>
      <c r="E240" s="57" t="s">
        <v>166</v>
      </c>
      <c r="F240" s="50">
        <f t="shared" si="97"/>
        <v>0</v>
      </c>
      <c r="G240" s="51" t="s">
        <v>300</v>
      </c>
      <c r="H240" s="51" t="s">
        <v>51</v>
      </c>
      <c r="I240" s="51" t="s">
        <v>340</v>
      </c>
      <c r="J240" s="52">
        <v>60000</v>
      </c>
      <c r="K240" s="61">
        <f t="shared" si="112"/>
        <v>5900</v>
      </c>
      <c r="L240" s="50" t="s">
        <v>24</v>
      </c>
      <c r="M240" s="54">
        <f>J240-N240</f>
        <v>54100</v>
      </c>
      <c r="N240" s="54">
        <f>2000+300+600+3000</f>
        <v>5900</v>
      </c>
      <c r="O240" s="55">
        <f t="shared" si="113"/>
        <v>60000</v>
      </c>
      <c r="P240" s="44"/>
      <c r="Q240" s="41" t="s">
        <v>384</v>
      </c>
      <c r="R240" s="10"/>
      <c r="S240" s="10">
        <f t="shared" ref="S240:S271" si="114">R240+O240</f>
        <v>60000</v>
      </c>
      <c r="T240" s="10">
        <f t="shared" ref="T240:T271" si="115">S240/0.7</f>
        <v>85714.285714285725</v>
      </c>
      <c r="U240" s="11">
        <f t="shared" ref="U240:U271" si="116">T240/0.875</f>
        <v>97959.183673469393</v>
      </c>
      <c r="V240" s="12">
        <f t="shared" si="108"/>
        <v>0.12499999999999994</v>
      </c>
      <c r="W240" s="11">
        <f t="shared" ref="W240:W263" si="117">(ROUNDUP((U240/100),0))*100</f>
        <v>98000</v>
      </c>
      <c r="X240" s="26">
        <f t="shared" si="109"/>
        <v>0.3000000000000001</v>
      </c>
      <c r="Y240" s="13"/>
      <c r="Z240" s="13"/>
      <c r="AA240" s="14"/>
    </row>
    <row r="241" spans="1:27" ht="14.4" customHeight="1">
      <c r="A241" s="75"/>
      <c r="B241" s="46"/>
      <c r="C241" s="56" t="s">
        <v>277</v>
      </c>
      <c r="D241" s="48" t="str">
        <f t="shared" si="96"/>
        <v xml:space="preserve"> 255</v>
      </c>
      <c r="E241" s="57" t="s">
        <v>277</v>
      </c>
      <c r="F241" s="50">
        <f t="shared" si="97"/>
        <v>0</v>
      </c>
      <c r="G241" s="51" t="s">
        <v>300</v>
      </c>
      <c r="H241" s="51" t="s">
        <v>33</v>
      </c>
      <c r="I241" s="51" t="s">
        <v>369</v>
      </c>
      <c r="J241" s="62">
        <f t="shared" ref="J241:J246" si="118">M241</f>
        <v>88000</v>
      </c>
      <c r="K241" s="61">
        <f t="shared" si="112"/>
        <v>0</v>
      </c>
      <c r="L241" s="63" t="s">
        <v>23</v>
      </c>
      <c r="M241" s="67">
        <v>88000</v>
      </c>
      <c r="N241" s="65">
        <f>2000+200+350+600+3000</f>
        <v>6150</v>
      </c>
      <c r="O241" s="55">
        <f t="shared" si="113"/>
        <v>94150</v>
      </c>
      <c r="P241" s="44"/>
      <c r="Q241" s="41" t="s">
        <v>462</v>
      </c>
      <c r="R241" s="10"/>
      <c r="S241" s="10">
        <f t="shared" si="114"/>
        <v>94150</v>
      </c>
      <c r="T241" s="10">
        <f t="shared" si="115"/>
        <v>134500</v>
      </c>
      <c r="U241" s="11">
        <f t="shared" si="116"/>
        <v>153714.28571428571</v>
      </c>
      <c r="V241" s="12">
        <f t="shared" si="108"/>
        <v>0.12499999999999997</v>
      </c>
      <c r="W241" s="11">
        <f t="shared" si="117"/>
        <v>153800</v>
      </c>
      <c r="X241" s="26">
        <f t="shared" si="109"/>
        <v>0.3</v>
      </c>
      <c r="Y241" s="13"/>
      <c r="Z241" s="13"/>
      <c r="AA241" s="13"/>
    </row>
    <row r="242" spans="1:27" ht="14.4" customHeight="1">
      <c r="A242" s="75"/>
      <c r="B242" s="46"/>
      <c r="C242" s="56" t="s">
        <v>278</v>
      </c>
      <c r="D242" s="48" t="str">
        <f t="shared" si="96"/>
        <v xml:space="preserve"> 989</v>
      </c>
      <c r="E242" s="57" t="s">
        <v>278</v>
      </c>
      <c r="F242" s="50">
        <f t="shared" si="97"/>
        <v>0</v>
      </c>
      <c r="G242" s="51" t="s">
        <v>300</v>
      </c>
      <c r="H242" s="51" t="s">
        <v>33</v>
      </c>
      <c r="I242" s="51" t="s">
        <v>369</v>
      </c>
      <c r="J242" s="62">
        <f t="shared" si="118"/>
        <v>82500</v>
      </c>
      <c r="K242" s="61">
        <f t="shared" si="112"/>
        <v>0</v>
      </c>
      <c r="L242" s="63" t="s">
        <v>23</v>
      </c>
      <c r="M242" s="67">
        <v>82500</v>
      </c>
      <c r="N242" s="65">
        <f>2000+200+350+600+3000</f>
        <v>6150</v>
      </c>
      <c r="O242" s="55">
        <f t="shared" si="113"/>
        <v>88650</v>
      </c>
      <c r="P242" s="44"/>
      <c r="Q242" s="41" t="s">
        <v>462</v>
      </c>
      <c r="R242" s="10"/>
      <c r="S242" s="10">
        <f t="shared" si="114"/>
        <v>88650</v>
      </c>
      <c r="T242" s="10">
        <f t="shared" si="115"/>
        <v>126642.85714285714</v>
      </c>
      <c r="U242" s="11">
        <f t="shared" si="116"/>
        <v>144734.69387755104</v>
      </c>
      <c r="V242" s="12">
        <f t="shared" si="108"/>
        <v>0.12500000000000008</v>
      </c>
      <c r="W242" s="11">
        <f t="shared" si="117"/>
        <v>144800</v>
      </c>
      <c r="X242" s="26">
        <f t="shared" si="109"/>
        <v>0.3</v>
      </c>
      <c r="Y242" s="13"/>
      <c r="Z242" s="13"/>
      <c r="AA242" s="13"/>
    </row>
    <row r="243" spans="1:27" ht="14.4" customHeight="1">
      <c r="A243" s="75"/>
      <c r="B243" s="46"/>
      <c r="C243" s="56" t="s">
        <v>279</v>
      </c>
      <c r="D243" s="48" t="str">
        <f t="shared" si="96"/>
        <v xml:space="preserve"> 399</v>
      </c>
      <c r="E243" s="57" t="s">
        <v>279</v>
      </c>
      <c r="F243" s="50">
        <f t="shared" si="97"/>
        <v>0</v>
      </c>
      <c r="G243" s="51" t="s">
        <v>300</v>
      </c>
      <c r="H243" s="51" t="s">
        <v>49</v>
      </c>
      <c r="I243" s="51" t="s">
        <v>369</v>
      </c>
      <c r="J243" s="62">
        <f t="shared" si="118"/>
        <v>88000</v>
      </c>
      <c r="K243" s="61">
        <f t="shared" si="112"/>
        <v>0</v>
      </c>
      <c r="L243" s="63" t="s">
        <v>23</v>
      </c>
      <c r="M243" s="67">
        <v>88000</v>
      </c>
      <c r="N243" s="65">
        <f>2000+200+350+600+3000</f>
        <v>6150</v>
      </c>
      <c r="O243" s="55">
        <f t="shared" si="113"/>
        <v>94150</v>
      </c>
      <c r="P243" s="44"/>
      <c r="Q243" s="41" t="s">
        <v>462</v>
      </c>
      <c r="R243" s="10"/>
      <c r="S243" s="10">
        <f t="shared" si="114"/>
        <v>94150</v>
      </c>
      <c r="T243" s="10">
        <f t="shared" si="115"/>
        <v>134500</v>
      </c>
      <c r="U243" s="11">
        <f t="shared" si="116"/>
        <v>153714.28571428571</v>
      </c>
      <c r="V243" s="12">
        <f t="shared" si="108"/>
        <v>0.12499999999999997</v>
      </c>
      <c r="W243" s="11">
        <f t="shared" si="117"/>
        <v>153800</v>
      </c>
      <c r="X243" s="26">
        <f t="shared" si="109"/>
        <v>0.3</v>
      </c>
      <c r="Y243" s="13"/>
      <c r="Z243" s="13"/>
      <c r="AA243" s="14"/>
    </row>
    <row r="244" spans="1:27" ht="14.4" customHeight="1">
      <c r="A244" s="75"/>
      <c r="B244" s="46"/>
      <c r="C244" s="56" t="s">
        <v>280</v>
      </c>
      <c r="D244" s="48" t="str">
        <f t="shared" si="96"/>
        <v xml:space="preserve"> 555</v>
      </c>
      <c r="E244" s="57" t="s">
        <v>280</v>
      </c>
      <c r="F244" s="50">
        <f t="shared" si="97"/>
        <v>0</v>
      </c>
      <c r="G244" s="51" t="s">
        <v>300</v>
      </c>
      <c r="H244" s="51" t="s">
        <v>33</v>
      </c>
      <c r="I244" s="51" t="s">
        <v>369</v>
      </c>
      <c r="J244" s="62">
        <f t="shared" si="118"/>
        <v>88000</v>
      </c>
      <c r="K244" s="61">
        <f t="shared" si="112"/>
        <v>0</v>
      </c>
      <c r="L244" s="63" t="s">
        <v>23</v>
      </c>
      <c r="M244" s="67">
        <v>88000</v>
      </c>
      <c r="N244" s="65">
        <f>2000+200+350+600+3000</f>
        <v>6150</v>
      </c>
      <c r="O244" s="55">
        <f t="shared" si="113"/>
        <v>94150</v>
      </c>
      <c r="P244" s="44"/>
      <c r="Q244" s="41" t="s">
        <v>462</v>
      </c>
      <c r="R244" s="10"/>
      <c r="S244" s="10">
        <f t="shared" si="114"/>
        <v>94150</v>
      </c>
      <c r="T244" s="10">
        <f t="shared" si="115"/>
        <v>134500</v>
      </c>
      <c r="U244" s="11">
        <f t="shared" si="116"/>
        <v>153714.28571428571</v>
      </c>
      <c r="V244" s="12">
        <f t="shared" si="108"/>
        <v>0.12499999999999997</v>
      </c>
      <c r="W244" s="11">
        <f t="shared" si="117"/>
        <v>153800</v>
      </c>
      <c r="X244" s="26">
        <f t="shared" si="109"/>
        <v>0.3</v>
      </c>
      <c r="Y244" s="13"/>
      <c r="Z244" s="13"/>
      <c r="AA244" s="14"/>
    </row>
    <row r="245" spans="1:27" ht="14.4" customHeight="1">
      <c r="A245" s="75"/>
      <c r="B245" s="46"/>
      <c r="C245" s="56" t="s">
        <v>95</v>
      </c>
      <c r="D245" s="48" t="str">
        <f t="shared" si="96"/>
        <v xml:space="preserve"> 878</v>
      </c>
      <c r="E245" s="57" t="s">
        <v>95</v>
      </c>
      <c r="F245" s="50">
        <f t="shared" si="97"/>
        <v>0</v>
      </c>
      <c r="G245" s="51" t="s">
        <v>21</v>
      </c>
      <c r="H245" s="51" t="s">
        <v>301</v>
      </c>
      <c r="I245" s="51" t="s">
        <v>369</v>
      </c>
      <c r="J245" s="62">
        <f t="shared" si="118"/>
        <v>80000</v>
      </c>
      <c r="K245" s="61">
        <f t="shared" si="112"/>
        <v>0</v>
      </c>
      <c r="L245" s="63" t="s">
        <v>23</v>
      </c>
      <c r="M245" s="67">
        <v>80000</v>
      </c>
      <c r="N245" s="65">
        <f>2000+200+600+750+3000</f>
        <v>6550</v>
      </c>
      <c r="O245" s="55">
        <f t="shared" si="113"/>
        <v>86550</v>
      </c>
      <c r="P245" s="43"/>
      <c r="Q245" s="41" t="s">
        <v>464</v>
      </c>
      <c r="R245" s="10"/>
      <c r="S245" s="10">
        <f t="shared" si="114"/>
        <v>86550</v>
      </c>
      <c r="T245" s="10">
        <f t="shared" si="115"/>
        <v>123642.85714285714</v>
      </c>
      <c r="U245" s="11">
        <f t="shared" si="116"/>
        <v>141306.12244897959</v>
      </c>
      <c r="V245" s="12">
        <f t="shared" si="108"/>
        <v>0.12499999999999994</v>
      </c>
      <c r="W245" s="11">
        <f t="shared" si="117"/>
        <v>141400</v>
      </c>
      <c r="X245" s="26">
        <f t="shared" si="109"/>
        <v>0.3</v>
      </c>
      <c r="Y245" s="36">
        <v>124513</v>
      </c>
      <c r="Z245" s="29">
        <f>T245-Y245</f>
        <v>-870.14285714285506</v>
      </c>
      <c r="AA245" s="30">
        <f>Z245/Y245</f>
        <v>-6.9883695448897309E-3</v>
      </c>
    </row>
    <row r="246" spans="1:27" ht="14.4" customHeight="1">
      <c r="A246" s="75"/>
      <c r="B246" s="46"/>
      <c r="C246" s="56" t="s">
        <v>281</v>
      </c>
      <c r="D246" s="48" t="str">
        <f t="shared" si="96"/>
        <v xml:space="preserve"> 546</v>
      </c>
      <c r="E246" s="57" t="s">
        <v>281</v>
      </c>
      <c r="F246" s="50">
        <f t="shared" si="97"/>
        <v>0</v>
      </c>
      <c r="G246" s="51" t="s">
        <v>300</v>
      </c>
      <c r="H246" s="51" t="s">
        <v>301</v>
      </c>
      <c r="I246" s="51" t="s">
        <v>369</v>
      </c>
      <c r="J246" s="62">
        <f t="shared" si="118"/>
        <v>80000</v>
      </c>
      <c r="K246" s="61">
        <f t="shared" si="112"/>
        <v>0</v>
      </c>
      <c r="L246" s="63" t="s">
        <v>23</v>
      </c>
      <c r="M246" s="67">
        <v>80000</v>
      </c>
      <c r="N246" s="65">
        <f>2000+200+600+750+3000</f>
        <v>6550</v>
      </c>
      <c r="O246" s="55">
        <f t="shared" si="113"/>
        <v>86550</v>
      </c>
      <c r="P246" s="44"/>
      <c r="Q246" s="41" t="s">
        <v>464</v>
      </c>
      <c r="R246" s="10"/>
      <c r="S246" s="10">
        <f t="shared" si="114"/>
        <v>86550</v>
      </c>
      <c r="T246" s="10">
        <f t="shared" si="115"/>
        <v>123642.85714285714</v>
      </c>
      <c r="U246" s="11">
        <f t="shared" si="116"/>
        <v>141306.12244897959</v>
      </c>
      <c r="V246" s="12">
        <f t="shared" si="108"/>
        <v>0.12499999999999994</v>
      </c>
      <c r="W246" s="11">
        <f t="shared" si="117"/>
        <v>141400</v>
      </c>
      <c r="X246" s="26">
        <f t="shared" si="109"/>
        <v>0.3</v>
      </c>
      <c r="Y246" s="13"/>
      <c r="Z246" s="13"/>
      <c r="AA246" s="14"/>
    </row>
    <row r="247" spans="1:27" ht="14.4" customHeight="1">
      <c r="A247" s="75"/>
      <c r="B247" s="46"/>
      <c r="C247" s="56" t="s">
        <v>153</v>
      </c>
      <c r="D247" s="48" t="str">
        <f t="shared" si="96"/>
        <v xml:space="preserve"> 773</v>
      </c>
      <c r="E247" s="57" t="s">
        <v>153</v>
      </c>
      <c r="F247" s="50">
        <f t="shared" si="97"/>
        <v>0</v>
      </c>
      <c r="G247" s="51" t="s">
        <v>300</v>
      </c>
      <c r="H247" s="51" t="s">
        <v>60</v>
      </c>
      <c r="I247" s="51" t="s">
        <v>339</v>
      </c>
      <c r="J247" s="52">
        <v>37900</v>
      </c>
      <c r="K247" s="61">
        <f t="shared" si="112"/>
        <v>4900</v>
      </c>
      <c r="L247" s="50" t="s">
        <v>24</v>
      </c>
      <c r="M247" s="54">
        <f t="shared" ref="M247:M263" si="119">J247-N247</f>
        <v>33000</v>
      </c>
      <c r="N247" s="54">
        <f>2000+300+600+2000</f>
        <v>4900</v>
      </c>
      <c r="O247" s="55">
        <f t="shared" si="113"/>
        <v>37900</v>
      </c>
      <c r="P247" s="44"/>
      <c r="Q247" s="41" t="s">
        <v>392</v>
      </c>
      <c r="R247" s="10"/>
      <c r="S247" s="10">
        <f t="shared" si="114"/>
        <v>37900</v>
      </c>
      <c r="T247" s="10">
        <f t="shared" si="115"/>
        <v>54142.857142857145</v>
      </c>
      <c r="U247" s="11">
        <f t="shared" si="116"/>
        <v>61877.551020408166</v>
      </c>
      <c r="V247" s="12">
        <f t="shared" si="108"/>
        <v>0.125</v>
      </c>
      <c r="W247" s="11">
        <f t="shared" si="117"/>
        <v>61900</v>
      </c>
      <c r="X247" s="71">
        <f t="shared" si="109"/>
        <v>0.30000000000000004</v>
      </c>
      <c r="Y247" s="13"/>
      <c r="Z247" s="13"/>
      <c r="AA247" s="13"/>
    </row>
    <row r="248" spans="1:27" ht="14.4" customHeight="1">
      <c r="A248" s="75"/>
      <c r="B248" s="46"/>
      <c r="C248" s="56" t="s">
        <v>154</v>
      </c>
      <c r="D248" s="48" t="str">
        <f t="shared" si="96"/>
        <v xml:space="preserve"> 460</v>
      </c>
      <c r="E248" s="57" t="s">
        <v>154</v>
      </c>
      <c r="F248" s="50">
        <f t="shared" si="97"/>
        <v>0</v>
      </c>
      <c r="G248" s="51" t="s">
        <v>300</v>
      </c>
      <c r="H248" s="51" t="s">
        <v>60</v>
      </c>
      <c r="I248" s="51" t="s">
        <v>339</v>
      </c>
      <c r="J248" s="52">
        <v>37900</v>
      </c>
      <c r="K248" s="61">
        <f t="shared" si="112"/>
        <v>4900</v>
      </c>
      <c r="L248" s="50" t="s">
        <v>24</v>
      </c>
      <c r="M248" s="54">
        <f t="shared" si="119"/>
        <v>33000</v>
      </c>
      <c r="N248" s="54">
        <f>2000+300+600+2000</f>
        <v>4900</v>
      </c>
      <c r="O248" s="55">
        <f t="shared" si="113"/>
        <v>37900</v>
      </c>
      <c r="P248" s="44"/>
      <c r="Q248" s="41" t="s">
        <v>392</v>
      </c>
      <c r="R248" s="10"/>
      <c r="S248" s="10">
        <f t="shared" si="114"/>
        <v>37900</v>
      </c>
      <c r="T248" s="10">
        <f t="shared" si="115"/>
        <v>54142.857142857145</v>
      </c>
      <c r="U248" s="11">
        <f t="shared" si="116"/>
        <v>61877.551020408166</v>
      </c>
      <c r="V248" s="12">
        <f t="shared" si="108"/>
        <v>0.125</v>
      </c>
      <c r="W248" s="11">
        <f t="shared" si="117"/>
        <v>61900</v>
      </c>
      <c r="X248" s="26">
        <f t="shared" si="109"/>
        <v>0.30000000000000004</v>
      </c>
      <c r="Y248" s="13"/>
      <c r="Z248" s="13"/>
      <c r="AA248" s="14"/>
    </row>
    <row r="249" spans="1:27" ht="14.4" customHeight="1">
      <c r="A249" s="75"/>
      <c r="B249" s="46"/>
      <c r="C249" s="56" t="s">
        <v>155</v>
      </c>
      <c r="D249" s="48" t="str">
        <f t="shared" si="96"/>
        <v xml:space="preserve"> 575</v>
      </c>
      <c r="E249" s="57" t="s">
        <v>155</v>
      </c>
      <c r="F249" s="50">
        <f t="shared" si="97"/>
        <v>0</v>
      </c>
      <c r="G249" s="51" t="s">
        <v>300</v>
      </c>
      <c r="H249" s="51" t="s">
        <v>51</v>
      </c>
      <c r="I249" s="51" t="s">
        <v>339</v>
      </c>
      <c r="J249" s="52">
        <v>50900</v>
      </c>
      <c r="K249" s="61">
        <f t="shared" si="112"/>
        <v>5900</v>
      </c>
      <c r="L249" s="50" t="s">
        <v>24</v>
      </c>
      <c r="M249" s="54">
        <f t="shared" si="119"/>
        <v>45000</v>
      </c>
      <c r="N249" s="54">
        <f>2000+300+600+1000+2000</f>
        <v>5900</v>
      </c>
      <c r="O249" s="55">
        <f t="shared" si="113"/>
        <v>50900</v>
      </c>
      <c r="P249" s="43"/>
      <c r="Q249" s="41" t="s">
        <v>390</v>
      </c>
      <c r="R249" s="10"/>
      <c r="S249" s="10">
        <f t="shared" si="114"/>
        <v>50900</v>
      </c>
      <c r="T249" s="10">
        <f t="shared" si="115"/>
        <v>72714.285714285725</v>
      </c>
      <c r="U249" s="11">
        <f t="shared" si="116"/>
        <v>83102.040816326538</v>
      </c>
      <c r="V249" s="12">
        <f t="shared" si="108"/>
        <v>0.12499999999999996</v>
      </c>
      <c r="W249" s="11">
        <f t="shared" si="117"/>
        <v>83200</v>
      </c>
      <c r="X249" s="26">
        <f t="shared" si="109"/>
        <v>0.3000000000000001</v>
      </c>
      <c r="Y249" s="13"/>
      <c r="Z249" s="13"/>
      <c r="AA249" s="14"/>
    </row>
    <row r="250" spans="1:27" ht="14.4" customHeight="1">
      <c r="A250" s="75"/>
      <c r="B250" s="46"/>
      <c r="C250" s="56" t="s">
        <v>156</v>
      </c>
      <c r="D250" s="48" t="str">
        <f t="shared" si="96"/>
        <v xml:space="preserve"> 755</v>
      </c>
      <c r="E250" s="57" t="s">
        <v>156</v>
      </c>
      <c r="F250" s="50">
        <f t="shared" si="97"/>
        <v>0</v>
      </c>
      <c r="G250" s="51" t="s">
        <v>300</v>
      </c>
      <c r="H250" s="51" t="s">
        <v>60</v>
      </c>
      <c r="I250" s="51" t="s">
        <v>339</v>
      </c>
      <c r="J250" s="52">
        <v>37900</v>
      </c>
      <c r="K250" s="61">
        <f t="shared" si="112"/>
        <v>4900</v>
      </c>
      <c r="L250" s="50" t="s">
        <v>24</v>
      </c>
      <c r="M250" s="54">
        <f t="shared" si="119"/>
        <v>33000</v>
      </c>
      <c r="N250" s="54">
        <f>2000+300+600+2000</f>
        <v>4900</v>
      </c>
      <c r="O250" s="55">
        <f t="shared" si="113"/>
        <v>37900</v>
      </c>
      <c r="P250" s="43"/>
      <c r="Q250" s="41" t="s">
        <v>392</v>
      </c>
      <c r="R250" s="10"/>
      <c r="S250" s="10">
        <f t="shared" si="114"/>
        <v>37900</v>
      </c>
      <c r="T250" s="10">
        <f t="shared" si="115"/>
        <v>54142.857142857145</v>
      </c>
      <c r="U250" s="11">
        <f t="shared" si="116"/>
        <v>61877.551020408166</v>
      </c>
      <c r="V250" s="12">
        <f t="shared" si="108"/>
        <v>0.125</v>
      </c>
      <c r="W250" s="11">
        <f t="shared" si="117"/>
        <v>61900</v>
      </c>
      <c r="X250" s="26">
        <f t="shared" si="109"/>
        <v>0.30000000000000004</v>
      </c>
      <c r="Y250" s="13"/>
      <c r="Z250" s="13"/>
      <c r="AA250" s="13"/>
    </row>
    <row r="251" spans="1:27" ht="14.4" customHeight="1">
      <c r="A251" s="75"/>
      <c r="B251" s="46"/>
      <c r="C251" s="56" t="s">
        <v>157</v>
      </c>
      <c r="D251" s="48" t="str">
        <f t="shared" si="96"/>
        <v xml:space="preserve"> 673</v>
      </c>
      <c r="E251" s="57" t="s">
        <v>157</v>
      </c>
      <c r="F251" s="50">
        <f t="shared" si="97"/>
        <v>0</v>
      </c>
      <c r="G251" s="51" t="s">
        <v>300</v>
      </c>
      <c r="H251" s="51" t="s">
        <v>51</v>
      </c>
      <c r="I251" s="51" t="s">
        <v>339</v>
      </c>
      <c r="J251" s="52">
        <v>67500</v>
      </c>
      <c r="K251" s="61">
        <f t="shared" si="112"/>
        <v>7500</v>
      </c>
      <c r="L251" s="50" t="s">
        <v>24</v>
      </c>
      <c r="M251" s="54">
        <f t="shared" si="119"/>
        <v>60000</v>
      </c>
      <c r="N251" s="54">
        <f>2000+300+600+1000+3600</f>
        <v>7500</v>
      </c>
      <c r="O251" s="55">
        <f t="shared" si="113"/>
        <v>67500</v>
      </c>
      <c r="P251" s="43"/>
      <c r="Q251" s="41" t="s">
        <v>394</v>
      </c>
      <c r="R251" s="10"/>
      <c r="S251" s="10">
        <f t="shared" si="114"/>
        <v>67500</v>
      </c>
      <c r="T251" s="10">
        <f t="shared" si="115"/>
        <v>96428.571428571435</v>
      </c>
      <c r="U251" s="11">
        <f t="shared" si="116"/>
        <v>110204.08163265306</v>
      </c>
      <c r="V251" s="12">
        <f t="shared" si="108"/>
        <v>0.12499999999999994</v>
      </c>
      <c r="W251" s="11">
        <f t="shared" si="117"/>
        <v>110300</v>
      </c>
      <c r="X251" s="26">
        <f t="shared" si="109"/>
        <v>0.30000000000000004</v>
      </c>
      <c r="Y251" s="13"/>
      <c r="Z251" s="13"/>
      <c r="AA251" s="14"/>
    </row>
    <row r="252" spans="1:27" ht="14.4" customHeight="1">
      <c r="A252" s="75"/>
      <c r="B252" s="46"/>
      <c r="C252" s="56" t="s">
        <v>158</v>
      </c>
      <c r="D252" s="48" t="str">
        <f t="shared" si="96"/>
        <v xml:space="preserve"> 801</v>
      </c>
      <c r="E252" s="57" t="s">
        <v>158</v>
      </c>
      <c r="F252" s="50">
        <f t="shared" si="97"/>
        <v>0</v>
      </c>
      <c r="G252" s="51" t="s">
        <v>300</v>
      </c>
      <c r="H252" s="51" t="s">
        <v>51</v>
      </c>
      <c r="I252" s="51" t="s">
        <v>339</v>
      </c>
      <c r="J252" s="52">
        <v>67500</v>
      </c>
      <c r="K252" s="61">
        <f t="shared" si="112"/>
        <v>7500</v>
      </c>
      <c r="L252" s="50" t="s">
        <v>24</v>
      </c>
      <c r="M252" s="54">
        <f t="shared" si="119"/>
        <v>60000</v>
      </c>
      <c r="N252" s="54">
        <f>2000+300+600+1000+3600</f>
        <v>7500</v>
      </c>
      <c r="O252" s="55">
        <f t="shared" si="113"/>
        <v>67500</v>
      </c>
      <c r="P252" s="43"/>
      <c r="Q252" s="41" t="s">
        <v>394</v>
      </c>
      <c r="R252" s="10"/>
      <c r="S252" s="10">
        <f t="shared" si="114"/>
        <v>67500</v>
      </c>
      <c r="T252" s="10">
        <f t="shared" si="115"/>
        <v>96428.571428571435</v>
      </c>
      <c r="U252" s="11">
        <f t="shared" si="116"/>
        <v>110204.08163265306</v>
      </c>
      <c r="V252" s="12">
        <f t="shared" si="108"/>
        <v>0.12499999999999994</v>
      </c>
      <c r="W252" s="11">
        <f t="shared" si="117"/>
        <v>110300</v>
      </c>
      <c r="X252" s="26">
        <f t="shared" si="109"/>
        <v>0.30000000000000004</v>
      </c>
      <c r="Y252" s="13"/>
      <c r="Z252" s="13"/>
      <c r="AA252" s="13"/>
    </row>
    <row r="253" spans="1:27" ht="14.4" customHeight="1">
      <c r="A253" s="75"/>
      <c r="B253" s="46"/>
      <c r="C253" s="56" t="s">
        <v>159</v>
      </c>
      <c r="D253" s="48" t="str">
        <f t="shared" si="96"/>
        <v xml:space="preserve"> 406</v>
      </c>
      <c r="E253" s="57" t="s">
        <v>159</v>
      </c>
      <c r="F253" s="50">
        <f t="shared" si="97"/>
        <v>0</v>
      </c>
      <c r="G253" s="51" t="s">
        <v>300</v>
      </c>
      <c r="H253" s="51" t="s">
        <v>60</v>
      </c>
      <c r="I253" s="51" t="s">
        <v>339</v>
      </c>
      <c r="J253" s="52">
        <v>37900</v>
      </c>
      <c r="K253" s="53">
        <f t="shared" si="112"/>
        <v>4900</v>
      </c>
      <c r="L253" s="50" t="s">
        <v>24</v>
      </c>
      <c r="M253" s="54">
        <f t="shared" si="119"/>
        <v>33000</v>
      </c>
      <c r="N253" s="54">
        <f>2000+300+600+2000</f>
        <v>4900</v>
      </c>
      <c r="O253" s="55">
        <f t="shared" si="113"/>
        <v>37900</v>
      </c>
      <c r="P253" s="42"/>
      <c r="Q253" s="41" t="s">
        <v>392</v>
      </c>
      <c r="R253" s="10"/>
      <c r="S253" s="10">
        <f t="shared" si="114"/>
        <v>37900</v>
      </c>
      <c r="T253" s="10">
        <f t="shared" si="115"/>
        <v>54142.857142857145</v>
      </c>
      <c r="U253" s="11">
        <f t="shared" si="116"/>
        <v>61877.551020408166</v>
      </c>
      <c r="V253" s="12">
        <f t="shared" si="108"/>
        <v>0.125</v>
      </c>
      <c r="W253" s="11">
        <f t="shared" si="117"/>
        <v>61900</v>
      </c>
      <c r="X253" s="26">
        <f t="shared" si="109"/>
        <v>0.30000000000000004</v>
      </c>
      <c r="Y253" s="13"/>
      <c r="Z253" s="13"/>
      <c r="AA253" s="13"/>
    </row>
    <row r="254" spans="1:27" ht="14.4" customHeight="1">
      <c r="A254" s="75"/>
      <c r="B254" s="46"/>
      <c r="C254" s="56" t="s">
        <v>160</v>
      </c>
      <c r="D254" s="48" t="str">
        <f t="shared" si="96"/>
        <v xml:space="preserve"> 914</v>
      </c>
      <c r="E254" s="57" t="s">
        <v>160</v>
      </c>
      <c r="F254" s="50">
        <f t="shared" si="97"/>
        <v>0</v>
      </c>
      <c r="G254" s="51" t="s">
        <v>300</v>
      </c>
      <c r="H254" s="51" t="s">
        <v>60</v>
      </c>
      <c r="I254" s="51" t="s">
        <v>339</v>
      </c>
      <c r="J254" s="52">
        <v>40900</v>
      </c>
      <c r="K254" s="53">
        <f t="shared" si="112"/>
        <v>5900</v>
      </c>
      <c r="L254" s="50" t="s">
        <v>24</v>
      </c>
      <c r="M254" s="54">
        <f t="shared" si="119"/>
        <v>35000</v>
      </c>
      <c r="N254" s="54">
        <f>2000+300+600+1000+2000</f>
        <v>5900</v>
      </c>
      <c r="O254" s="55">
        <f t="shared" si="113"/>
        <v>40900</v>
      </c>
      <c r="P254" s="42"/>
      <c r="Q254" s="41" t="s">
        <v>390</v>
      </c>
      <c r="R254" s="10"/>
      <c r="S254" s="10">
        <f t="shared" si="114"/>
        <v>40900</v>
      </c>
      <c r="T254" s="10">
        <f t="shared" si="115"/>
        <v>58428.571428571435</v>
      </c>
      <c r="U254" s="11">
        <f t="shared" si="116"/>
        <v>66775.510204081642</v>
      </c>
      <c r="V254" s="12">
        <f t="shared" si="108"/>
        <v>0.12500000000000003</v>
      </c>
      <c r="W254" s="11">
        <f t="shared" si="117"/>
        <v>66800</v>
      </c>
      <c r="X254" s="26">
        <f t="shared" si="109"/>
        <v>0.3000000000000001</v>
      </c>
      <c r="Y254" s="13"/>
      <c r="Z254" s="13"/>
      <c r="AA254" s="14"/>
    </row>
    <row r="255" spans="1:27" ht="14.4" customHeight="1">
      <c r="A255" s="75"/>
      <c r="B255" s="46"/>
      <c r="C255" s="56" t="s">
        <v>161</v>
      </c>
      <c r="D255" s="48" t="str">
        <f t="shared" si="96"/>
        <v xml:space="preserve"> 131</v>
      </c>
      <c r="E255" s="57" t="s">
        <v>161</v>
      </c>
      <c r="F255" s="50">
        <f t="shared" si="97"/>
        <v>0</v>
      </c>
      <c r="G255" s="51" t="s">
        <v>300</v>
      </c>
      <c r="H255" s="51" t="s">
        <v>51</v>
      </c>
      <c r="I255" s="51" t="s">
        <v>339</v>
      </c>
      <c r="J255" s="52">
        <v>58400</v>
      </c>
      <c r="K255" s="61">
        <f t="shared" si="112"/>
        <v>5900</v>
      </c>
      <c r="L255" s="50" t="s">
        <v>24</v>
      </c>
      <c r="M255" s="54">
        <f t="shared" si="119"/>
        <v>52500</v>
      </c>
      <c r="N255" s="54">
        <f>2000+300+600+3000</f>
        <v>5900</v>
      </c>
      <c r="O255" s="55">
        <f t="shared" si="113"/>
        <v>58400</v>
      </c>
      <c r="P255" s="43"/>
      <c r="Q255" s="41" t="s">
        <v>384</v>
      </c>
      <c r="R255" s="10"/>
      <c r="S255" s="10">
        <f t="shared" si="114"/>
        <v>58400</v>
      </c>
      <c r="T255" s="10">
        <f t="shared" si="115"/>
        <v>83428.571428571435</v>
      </c>
      <c r="U255" s="11">
        <f t="shared" si="116"/>
        <v>95346.938775510207</v>
      </c>
      <c r="V255" s="12">
        <f t="shared" si="108"/>
        <v>0.12499999999999996</v>
      </c>
      <c r="W255" s="11">
        <f t="shared" si="117"/>
        <v>95400</v>
      </c>
      <c r="X255" s="26">
        <f t="shared" si="109"/>
        <v>0.30000000000000004</v>
      </c>
      <c r="Y255" s="13"/>
      <c r="Z255" s="13"/>
      <c r="AA255" s="14"/>
    </row>
    <row r="256" spans="1:27" ht="14.4" customHeight="1">
      <c r="A256" s="75"/>
      <c r="B256" s="46"/>
      <c r="C256" s="56" t="s">
        <v>144</v>
      </c>
      <c r="D256" s="48" t="str">
        <f t="shared" si="96"/>
        <v xml:space="preserve"> 187</v>
      </c>
      <c r="E256" s="57" t="s">
        <v>144</v>
      </c>
      <c r="F256" s="50">
        <f t="shared" si="97"/>
        <v>0</v>
      </c>
      <c r="G256" s="51" t="s">
        <v>300</v>
      </c>
      <c r="H256" s="51" t="s">
        <v>60</v>
      </c>
      <c r="I256" s="51" t="s">
        <v>336</v>
      </c>
      <c r="J256" s="52">
        <v>40900</v>
      </c>
      <c r="K256" s="53">
        <f t="shared" si="112"/>
        <v>5900</v>
      </c>
      <c r="L256" s="50" t="s">
        <v>24</v>
      </c>
      <c r="M256" s="54">
        <f t="shared" si="119"/>
        <v>35000</v>
      </c>
      <c r="N256" s="54">
        <f>2000+300+600+1000+2000</f>
        <v>5900</v>
      </c>
      <c r="O256" s="55">
        <f t="shared" si="113"/>
        <v>40900</v>
      </c>
      <c r="P256" s="42"/>
      <c r="Q256" s="41" t="s">
        <v>390</v>
      </c>
      <c r="R256" s="10"/>
      <c r="S256" s="10">
        <f t="shared" si="114"/>
        <v>40900</v>
      </c>
      <c r="T256" s="10">
        <f t="shared" si="115"/>
        <v>58428.571428571435</v>
      </c>
      <c r="U256" s="11">
        <f t="shared" si="116"/>
        <v>66775.510204081642</v>
      </c>
      <c r="V256" s="12">
        <f t="shared" si="108"/>
        <v>0.12500000000000003</v>
      </c>
      <c r="W256" s="11">
        <f t="shared" si="117"/>
        <v>66800</v>
      </c>
      <c r="X256" s="26">
        <f t="shared" si="109"/>
        <v>0.3000000000000001</v>
      </c>
      <c r="Y256" s="13"/>
      <c r="Z256" s="13"/>
      <c r="AA256" s="13"/>
    </row>
    <row r="257" spans="1:27" ht="14.4" customHeight="1">
      <c r="A257" s="75"/>
      <c r="B257" s="46"/>
      <c r="C257" s="56" t="s">
        <v>145</v>
      </c>
      <c r="D257" s="48" t="str">
        <f t="shared" si="96"/>
        <v xml:space="preserve"> 763</v>
      </c>
      <c r="E257" s="57" t="s">
        <v>145</v>
      </c>
      <c r="F257" s="50">
        <f t="shared" si="97"/>
        <v>0</v>
      </c>
      <c r="G257" s="51" t="s">
        <v>300</v>
      </c>
      <c r="H257" s="51" t="s">
        <v>60</v>
      </c>
      <c r="I257" s="51" t="s">
        <v>336</v>
      </c>
      <c r="J257" s="52">
        <v>41900</v>
      </c>
      <c r="K257" s="61">
        <f t="shared" si="112"/>
        <v>5900</v>
      </c>
      <c r="L257" s="50" t="s">
        <v>24</v>
      </c>
      <c r="M257" s="54">
        <f t="shared" si="119"/>
        <v>36000</v>
      </c>
      <c r="N257" s="54">
        <f>2000+300+600+1000+2000</f>
        <v>5900</v>
      </c>
      <c r="O257" s="55">
        <f t="shared" si="113"/>
        <v>41900</v>
      </c>
      <c r="P257" s="44"/>
      <c r="Q257" s="41" t="s">
        <v>390</v>
      </c>
      <c r="R257" s="10"/>
      <c r="S257" s="10">
        <f t="shared" si="114"/>
        <v>41900</v>
      </c>
      <c r="T257" s="10">
        <f t="shared" si="115"/>
        <v>59857.142857142862</v>
      </c>
      <c r="U257" s="11">
        <f t="shared" si="116"/>
        <v>68408.163265306124</v>
      </c>
      <c r="V257" s="12">
        <f t="shared" si="108"/>
        <v>0.12499999999999994</v>
      </c>
      <c r="W257" s="11">
        <f t="shared" si="117"/>
        <v>68500</v>
      </c>
      <c r="X257" s="26">
        <f t="shared" si="109"/>
        <v>0.30000000000000004</v>
      </c>
      <c r="Y257" s="13"/>
      <c r="Z257" s="13"/>
      <c r="AA257" s="14"/>
    </row>
    <row r="258" spans="1:27" ht="14.4" customHeight="1">
      <c r="A258" s="75"/>
      <c r="B258" s="46"/>
      <c r="C258" s="56" t="s">
        <v>68</v>
      </c>
      <c r="D258" s="48" t="str">
        <f t="shared" si="96"/>
        <v xml:space="preserve"> 611</v>
      </c>
      <c r="E258" s="57" t="s">
        <v>68</v>
      </c>
      <c r="F258" s="50">
        <f t="shared" si="97"/>
        <v>0</v>
      </c>
      <c r="G258" s="51" t="s">
        <v>21</v>
      </c>
      <c r="H258" s="51" t="s">
        <v>311</v>
      </c>
      <c r="I258" s="51" t="s">
        <v>336</v>
      </c>
      <c r="J258" s="52">
        <v>25000</v>
      </c>
      <c r="K258" s="61">
        <f t="shared" si="112"/>
        <v>5100</v>
      </c>
      <c r="L258" s="50" t="s">
        <v>24</v>
      </c>
      <c r="M258" s="54">
        <f t="shared" si="119"/>
        <v>19900</v>
      </c>
      <c r="N258" s="54">
        <f>2000+200+600+1650+650</f>
        <v>5100</v>
      </c>
      <c r="O258" s="55">
        <f t="shared" si="113"/>
        <v>25000</v>
      </c>
      <c r="P258" s="43"/>
      <c r="Q258" s="41" t="s">
        <v>391</v>
      </c>
      <c r="R258" s="10"/>
      <c r="S258" s="10">
        <f t="shared" si="114"/>
        <v>25000</v>
      </c>
      <c r="T258" s="10">
        <f t="shared" si="115"/>
        <v>35714.285714285717</v>
      </c>
      <c r="U258" s="11">
        <f t="shared" si="116"/>
        <v>40816.326530612248</v>
      </c>
      <c r="V258" s="12">
        <f t="shared" si="108"/>
        <v>0.125</v>
      </c>
      <c r="W258" s="11">
        <f t="shared" si="117"/>
        <v>40900</v>
      </c>
      <c r="X258" s="71">
        <f t="shared" si="109"/>
        <v>0.30000000000000004</v>
      </c>
      <c r="Y258" s="36">
        <v>42875</v>
      </c>
      <c r="Z258" s="29">
        <f>T258-Y258</f>
        <v>-7160.7142857142826</v>
      </c>
      <c r="AA258" s="30">
        <f>Z258/Y258</f>
        <v>-0.16701374427321941</v>
      </c>
    </row>
    <row r="259" spans="1:27" ht="14.4" customHeight="1">
      <c r="A259" s="75"/>
      <c r="B259" s="46"/>
      <c r="C259" s="56" t="s">
        <v>476</v>
      </c>
      <c r="D259" s="48" t="str">
        <f t="shared" si="96"/>
        <v xml:space="preserve"> 251</v>
      </c>
      <c r="E259" s="58" t="s">
        <v>476</v>
      </c>
      <c r="F259" s="50">
        <f t="shared" si="97"/>
        <v>0</v>
      </c>
      <c r="G259" s="51" t="s">
        <v>485</v>
      </c>
      <c r="H259" s="51" t="s">
        <v>311</v>
      </c>
      <c r="I259" s="51" t="s">
        <v>336</v>
      </c>
      <c r="J259" s="52">
        <v>26000</v>
      </c>
      <c r="K259" s="61">
        <f t="shared" si="112"/>
        <v>5100</v>
      </c>
      <c r="L259" s="50" t="s">
        <v>24</v>
      </c>
      <c r="M259" s="54">
        <f t="shared" si="119"/>
        <v>20900</v>
      </c>
      <c r="N259" s="54">
        <f>2000+200+600+1650+650</f>
        <v>5100</v>
      </c>
      <c r="O259" s="55">
        <f t="shared" si="113"/>
        <v>26000</v>
      </c>
      <c r="P259" s="44"/>
      <c r="Q259" s="41" t="s">
        <v>391</v>
      </c>
      <c r="R259" s="10"/>
      <c r="S259" s="10">
        <f t="shared" si="114"/>
        <v>26000</v>
      </c>
      <c r="T259" s="10">
        <f t="shared" si="115"/>
        <v>37142.857142857145</v>
      </c>
      <c r="U259" s="11">
        <f t="shared" si="116"/>
        <v>42448.979591836738</v>
      </c>
      <c r="V259" s="12">
        <f t="shared" si="108"/>
        <v>0.12500000000000003</v>
      </c>
      <c r="W259" s="11">
        <f t="shared" si="117"/>
        <v>42500</v>
      </c>
      <c r="X259" s="26">
        <f t="shared" si="109"/>
        <v>0.30000000000000004</v>
      </c>
      <c r="Y259" s="36">
        <v>0</v>
      </c>
      <c r="Z259" s="29">
        <f>T259-Y259</f>
        <v>37142.857142857145</v>
      </c>
      <c r="AA259" s="30" t="e">
        <f>Z259/Y259</f>
        <v>#DIV/0!</v>
      </c>
    </row>
    <row r="260" spans="1:27" ht="14.4" customHeight="1">
      <c r="A260" s="75"/>
      <c r="B260" s="46"/>
      <c r="C260" s="56" t="s">
        <v>271</v>
      </c>
      <c r="D260" s="48" t="str">
        <f t="shared" si="96"/>
        <v xml:space="preserve"> 633</v>
      </c>
      <c r="E260" s="57" t="s">
        <v>271</v>
      </c>
      <c r="F260" s="50">
        <f t="shared" si="97"/>
        <v>0</v>
      </c>
      <c r="G260" s="51" t="s">
        <v>300</v>
      </c>
      <c r="H260" s="51" t="s">
        <v>316</v>
      </c>
      <c r="I260" s="51" t="s">
        <v>367</v>
      </c>
      <c r="J260" s="52">
        <v>70000</v>
      </c>
      <c r="K260" s="61">
        <f t="shared" si="112"/>
        <v>4200</v>
      </c>
      <c r="L260" s="50" t="s">
        <v>24</v>
      </c>
      <c r="M260" s="54">
        <f t="shared" si="119"/>
        <v>65800</v>
      </c>
      <c r="N260" s="65">
        <f>2000+200+350+600+300+750</f>
        <v>4200</v>
      </c>
      <c r="O260" s="55">
        <f t="shared" si="113"/>
        <v>70000</v>
      </c>
      <c r="P260" s="43"/>
      <c r="Q260" s="41" t="s">
        <v>458</v>
      </c>
      <c r="R260" s="10"/>
      <c r="S260" s="10">
        <f t="shared" si="114"/>
        <v>70000</v>
      </c>
      <c r="T260" s="10">
        <f t="shared" si="115"/>
        <v>100000</v>
      </c>
      <c r="U260" s="11">
        <f t="shared" si="116"/>
        <v>114285.71428571429</v>
      </c>
      <c r="V260" s="12">
        <f t="shared" si="108"/>
        <v>0.12500000000000003</v>
      </c>
      <c r="W260" s="11">
        <f t="shared" si="117"/>
        <v>114300</v>
      </c>
      <c r="X260" s="26">
        <f t="shared" si="109"/>
        <v>0.3</v>
      </c>
      <c r="Y260" s="13"/>
      <c r="Z260" s="13"/>
      <c r="AA260" s="13"/>
    </row>
    <row r="261" spans="1:27" ht="14.4" customHeight="1">
      <c r="A261" s="75"/>
      <c r="B261" s="46"/>
      <c r="C261" s="56" t="s">
        <v>272</v>
      </c>
      <c r="D261" s="48" t="str">
        <f t="shared" ref="D261:D324" si="120">REPLACE(C261,1,3, )</f>
        <v xml:space="preserve"> 888</v>
      </c>
      <c r="E261" s="57" t="s">
        <v>272</v>
      </c>
      <c r="F261" s="50">
        <f t="shared" ref="F261:F324" si="121">IF(C261=E261,0,1)</f>
        <v>0</v>
      </c>
      <c r="G261" s="51" t="s">
        <v>300</v>
      </c>
      <c r="H261" s="51" t="s">
        <v>314</v>
      </c>
      <c r="I261" s="51" t="s">
        <v>367</v>
      </c>
      <c r="J261" s="52">
        <v>70000</v>
      </c>
      <c r="K261" s="61">
        <f t="shared" si="112"/>
        <v>4200</v>
      </c>
      <c r="L261" s="50" t="s">
        <v>24</v>
      </c>
      <c r="M261" s="54">
        <f t="shared" si="119"/>
        <v>65800</v>
      </c>
      <c r="N261" s="65">
        <f>2000+200+350+600+300+750</f>
        <v>4200</v>
      </c>
      <c r="O261" s="55">
        <f t="shared" si="113"/>
        <v>70000</v>
      </c>
      <c r="P261" s="43"/>
      <c r="Q261" s="41" t="s">
        <v>459</v>
      </c>
      <c r="R261" s="10"/>
      <c r="S261" s="10">
        <f t="shared" si="114"/>
        <v>70000</v>
      </c>
      <c r="T261" s="10">
        <f t="shared" si="115"/>
        <v>100000</v>
      </c>
      <c r="U261" s="11">
        <f t="shared" si="116"/>
        <v>114285.71428571429</v>
      </c>
      <c r="V261" s="12">
        <f t="shared" si="108"/>
        <v>0.12500000000000003</v>
      </c>
      <c r="W261" s="11">
        <f t="shared" si="117"/>
        <v>114300</v>
      </c>
      <c r="X261" s="26">
        <f t="shared" si="109"/>
        <v>0.3</v>
      </c>
      <c r="Y261" s="13"/>
      <c r="Z261" s="13"/>
      <c r="AA261" s="14"/>
    </row>
    <row r="262" spans="1:27" ht="14.4" customHeight="1">
      <c r="A262" s="75"/>
      <c r="B262" s="46"/>
      <c r="C262" s="56" t="s">
        <v>273</v>
      </c>
      <c r="D262" s="48" t="str">
        <f t="shared" si="120"/>
        <v xml:space="preserve"> 266</v>
      </c>
      <c r="E262" s="57" t="s">
        <v>273</v>
      </c>
      <c r="F262" s="50">
        <f t="shared" si="121"/>
        <v>0</v>
      </c>
      <c r="G262" s="51" t="s">
        <v>300</v>
      </c>
      <c r="H262" s="51" t="s">
        <v>316</v>
      </c>
      <c r="I262" s="51" t="s">
        <v>367</v>
      </c>
      <c r="J262" s="52">
        <v>70000</v>
      </c>
      <c r="K262" s="61">
        <f t="shared" si="112"/>
        <v>4200</v>
      </c>
      <c r="L262" s="50" t="s">
        <v>24</v>
      </c>
      <c r="M262" s="54">
        <f t="shared" si="119"/>
        <v>65800</v>
      </c>
      <c r="N262" s="65">
        <f>2000+200+350+600+300+750</f>
        <v>4200</v>
      </c>
      <c r="O262" s="55">
        <f t="shared" si="113"/>
        <v>70000</v>
      </c>
      <c r="P262" s="44"/>
      <c r="Q262" s="41" t="s">
        <v>460</v>
      </c>
      <c r="R262" s="10"/>
      <c r="S262" s="10">
        <f t="shared" si="114"/>
        <v>70000</v>
      </c>
      <c r="T262" s="10">
        <f t="shared" si="115"/>
        <v>100000</v>
      </c>
      <c r="U262" s="11">
        <f t="shared" si="116"/>
        <v>114285.71428571429</v>
      </c>
      <c r="V262" s="12">
        <f t="shared" si="108"/>
        <v>0.12500000000000003</v>
      </c>
      <c r="W262" s="11">
        <f t="shared" si="117"/>
        <v>114300</v>
      </c>
      <c r="X262" s="26">
        <f t="shared" si="109"/>
        <v>0.3</v>
      </c>
      <c r="Y262" s="13"/>
      <c r="Z262" s="13"/>
      <c r="AA262" s="13"/>
    </row>
    <row r="263" spans="1:27" ht="14.4" customHeight="1">
      <c r="A263" s="75"/>
      <c r="B263" s="46"/>
      <c r="C263" s="56" t="s">
        <v>274</v>
      </c>
      <c r="D263" s="48" t="str">
        <f t="shared" si="120"/>
        <v xml:space="preserve"> 765</v>
      </c>
      <c r="E263" s="57" t="s">
        <v>274</v>
      </c>
      <c r="F263" s="50">
        <f t="shared" si="121"/>
        <v>0</v>
      </c>
      <c r="G263" s="51" t="s">
        <v>300</v>
      </c>
      <c r="H263" s="51" t="s">
        <v>316</v>
      </c>
      <c r="I263" s="51" t="s">
        <v>367</v>
      </c>
      <c r="J263" s="52">
        <v>72500</v>
      </c>
      <c r="K263" s="61">
        <f t="shared" si="112"/>
        <v>4200</v>
      </c>
      <c r="L263" s="50" t="s">
        <v>24</v>
      </c>
      <c r="M263" s="54">
        <f t="shared" si="119"/>
        <v>68300</v>
      </c>
      <c r="N263" s="65">
        <f>2000+200+350+600+300+750</f>
        <v>4200</v>
      </c>
      <c r="O263" s="55">
        <f t="shared" si="113"/>
        <v>72500</v>
      </c>
      <c r="P263" s="44"/>
      <c r="Q263" s="41" t="s">
        <v>461</v>
      </c>
      <c r="R263" s="10"/>
      <c r="S263" s="10">
        <f t="shared" si="114"/>
        <v>72500</v>
      </c>
      <c r="T263" s="10">
        <f t="shared" si="115"/>
        <v>103571.42857142858</v>
      </c>
      <c r="U263" s="11">
        <f t="shared" si="116"/>
        <v>118367.34693877552</v>
      </c>
      <c r="V263" s="12">
        <f t="shared" si="108"/>
        <v>0.12499999999999999</v>
      </c>
      <c r="W263" s="11">
        <f t="shared" si="117"/>
        <v>118400</v>
      </c>
      <c r="X263" s="26">
        <f t="shared" si="109"/>
        <v>0.30000000000000004</v>
      </c>
      <c r="Y263" s="13"/>
      <c r="Z263" s="13"/>
      <c r="AA263" s="14"/>
    </row>
    <row r="264" spans="1:27" ht="14.4" customHeight="1">
      <c r="X264" s="28"/>
    </row>
    <row r="265" spans="1:27" ht="14.4" customHeight="1">
      <c r="J265" s="69">
        <f>SUM(J5:J264)</f>
        <v>18143700</v>
      </c>
      <c r="K265" s="15">
        <f>SUM(K5:K264)</f>
        <v>1156050</v>
      </c>
      <c r="M265" s="15">
        <f>SUM(M5:M264)</f>
        <v>17064150</v>
      </c>
      <c r="N265" s="15">
        <f>SUM(N5:N264)</f>
        <v>1452850</v>
      </c>
      <c r="O265" s="15">
        <f>SUM(O5:O264)</f>
        <v>18517000</v>
      </c>
      <c r="P265" s="34"/>
      <c r="X265" s="28"/>
    </row>
    <row r="266" spans="1:27" customFormat="1" ht="14.4" customHeight="1">
      <c r="A266" s="16"/>
      <c r="B266" s="17" t="s">
        <v>77</v>
      </c>
      <c r="C266" s="18"/>
      <c r="D266" s="19"/>
      <c r="F266" s="20"/>
      <c r="H266" s="19"/>
      <c r="J266" s="70"/>
      <c r="K266" s="20"/>
      <c r="L266" s="20"/>
      <c r="M266" s="21"/>
      <c r="N266" s="22"/>
      <c r="O266" s="22"/>
      <c r="P266" s="35"/>
      <c r="Q266" s="20"/>
      <c r="R266" s="24"/>
      <c r="X266" s="27"/>
    </row>
    <row r="267" spans="1:27" customFormat="1" ht="14.4" customHeight="1">
      <c r="A267" s="16"/>
      <c r="B267" s="17" t="s">
        <v>78</v>
      </c>
      <c r="C267" s="18"/>
      <c r="F267" s="20"/>
      <c r="H267" s="19"/>
      <c r="J267" s="70"/>
      <c r="K267" s="20"/>
      <c r="L267" s="20"/>
      <c r="M267" s="21"/>
      <c r="N267" s="22"/>
      <c r="O267" s="22"/>
      <c r="P267" s="35"/>
      <c r="Q267" s="20"/>
      <c r="R267" s="24"/>
      <c r="X267" s="27"/>
    </row>
    <row r="268" spans="1:27" customFormat="1" ht="14.4" customHeight="1">
      <c r="A268" s="16"/>
      <c r="B268" s="17" t="s">
        <v>79</v>
      </c>
      <c r="C268" s="19"/>
      <c r="F268" s="20"/>
      <c r="H268" s="19"/>
      <c r="J268" s="70"/>
      <c r="K268" s="20"/>
      <c r="L268" s="20"/>
      <c r="M268" s="21"/>
      <c r="N268" s="22"/>
      <c r="O268" s="22"/>
      <c r="P268" s="35"/>
      <c r="Q268" s="20"/>
      <c r="R268" s="24"/>
      <c r="X268" s="27"/>
    </row>
    <row r="269" spans="1:27" customFormat="1" ht="14.4" customHeight="1">
      <c r="A269" s="16"/>
      <c r="B269" s="17" t="s">
        <v>80</v>
      </c>
      <c r="C269" s="19"/>
      <c r="D269" s="19"/>
      <c r="F269" s="20"/>
      <c r="H269" s="19"/>
      <c r="J269" s="70"/>
      <c r="K269" s="20"/>
      <c r="L269" s="20"/>
      <c r="M269" s="21"/>
      <c r="N269" s="22"/>
      <c r="O269" s="22"/>
      <c r="P269" s="35"/>
      <c r="Q269" s="20"/>
      <c r="R269" s="24"/>
      <c r="X269" s="27"/>
    </row>
    <row r="270" spans="1:27">
      <c r="A270" s="23"/>
    </row>
    <row r="272" spans="1:27">
      <c r="H272" s="25" t="s">
        <v>115</v>
      </c>
    </row>
    <row r="273" spans="8:8">
      <c r="H273" s="25" t="s">
        <v>116</v>
      </c>
    </row>
    <row r="274" spans="8:8">
      <c r="H274" s="25" t="s">
        <v>117</v>
      </c>
    </row>
    <row r="275" spans="8:8">
      <c r="H275" s="25" t="s">
        <v>118</v>
      </c>
    </row>
    <row r="276" spans="8:8">
      <c r="H276" s="23"/>
    </row>
    <row r="277" spans="8:8">
      <c r="H277" s="23" t="s">
        <v>119</v>
      </c>
    </row>
    <row r="278" spans="8:8">
      <c r="H278" s="23" t="s">
        <v>120</v>
      </c>
    </row>
    <row r="279" spans="8:8">
      <c r="H279" s="23" t="s">
        <v>121</v>
      </c>
    </row>
    <row r="281" spans="8:8">
      <c r="H281" s="23" t="s">
        <v>122</v>
      </c>
    </row>
  </sheetData>
  <autoFilter ref="A4:AA269">
    <filterColumn colId="6"/>
    <filterColumn colId="8"/>
    <sortState ref="A5:CA269">
      <sortCondition ref="I4:I269"/>
    </sortState>
  </autoFilter>
  <mergeCells count="1">
    <mergeCell ref="R3:X3"/>
  </mergeCells>
  <conditionalFormatting sqref="AA6:AA263">
    <cfRule type="cellIs" dxfId="3" priority="1" operator="greaterThan">
      <formula>0.7</formula>
    </cfRule>
    <cfRule type="cellIs" dxfId="2" priority="2" operator="greaterThan">
      <formula>7</formula>
    </cfRule>
  </conditionalFormatting>
  <conditionalFormatting sqref="D5:D263">
    <cfRule type="duplicateValues" dxfId="1" priority="104"/>
    <cfRule type="duplicateValues" dxfId="0" priority="10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Harga Jual INF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2018-10-24T03:07:14Z</cp:lastPrinted>
  <dcterms:created xsi:type="dcterms:W3CDTF">2017-10-26T06:50:29Z</dcterms:created>
  <dcterms:modified xsi:type="dcterms:W3CDTF">2018-10-30T10:15:26Z</dcterms:modified>
</cp:coreProperties>
</file>