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  <sheet name="Sheet2" sheetId="4" r:id="rId3"/>
  </sheets>
  <definedNames>
    <definedName name="_xlnm._FilterDatabase" localSheetId="0" hidden="1">'Harga Jual INF '!$A$3:$BX$511</definedName>
  </definedNames>
  <calcPr calcId="124519"/>
  <fileRecoveryPr autoRecover="0"/>
</workbook>
</file>

<file path=xl/calcChain.xml><?xml version="1.0" encoding="utf-8"?>
<calcChain xmlns="http://schemas.openxmlformats.org/spreadsheetml/2006/main">
  <c r="N500" i="1"/>
  <c r="N498"/>
  <c r="N449"/>
  <c r="O449" s="1"/>
  <c r="O498"/>
  <c r="J498"/>
  <c r="K498" s="1"/>
  <c r="J449"/>
  <c r="K449" s="1"/>
  <c r="N147"/>
  <c r="N128"/>
  <c r="N225"/>
  <c r="N382"/>
  <c r="N381"/>
  <c r="N374"/>
  <c r="M374" s="1"/>
  <c r="N372"/>
  <c r="M372" s="1"/>
  <c r="N371"/>
  <c r="N437"/>
  <c r="M437" s="1"/>
  <c r="N431"/>
  <c r="N429"/>
  <c r="M429" s="1"/>
  <c r="K429" s="1"/>
  <c r="N428"/>
  <c r="M428" s="1"/>
  <c r="N427"/>
  <c r="M427" s="1"/>
  <c r="N421"/>
  <c r="M421" s="1"/>
  <c r="N420"/>
  <c r="M420" s="1"/>
  <c r="M433"/>
  <c r="K433" s="1"/>
  <c r="M434"/>
  <c r="K434" s="1"/>
  <c r="M435"/>
  <c r="K435" s="1"/>
  <c r="N509"/>
  <c r="O509" s="1"/>
  <c r="J509"/>
  <c r="K509" s="1"/>
  <c r="N506"/>
  <c r="O506" s="1"/>
  <c r="J506"/>
  <c r="K506" s="1"/>
  <c r="N99"/>
  <c r="N167"/>
  <c r="N406"/>
  <c r="N181"/>
  <c r="N426"/>
  <c r="N419"/>
  <c r="M419" s="1"/>
  <c r="N418"/>
  <c r="N413"/>
  <c r="N376"/>
  <c r="N265"/>
  <c r="O265" s="1"/>
  <c r="N257"/>
  <c r="O257" s="1"/>
  <c r="N237"/>
  <c r="J265"/>
  <c r="K265" s="1"/>
  <c r="J257"/>
  <c r="K257" s="1"/>
  <c r="O237"/>
  <c r="J237"/>
  <c r="K237" s="1"/>
  <c r="O435" l="1"/>
  <c r="O434"/>
  <c r="O433"/>
  <c r="K374"/>
  <c r="O374"/>
  <c r="K372"/>
  <c r="O372"/>
  <c r="K437"/>
  <c r="O437"/>
  <c r="O429"/>
  <c r="K428"/>
  <c r="O428"/>
  <c r="K427"/>
  <c r="O427"/>
  <c r="K421"/>
  <c r="O421"/>
  <c r="K420"/>
  <c r="O420"/>
  <c r="K419"/>
  <c r="O419"/>
  <c r="N359" l="1"/>
  <c r="N51"/>
  <c r="N350"/>
  <c r="N347"/>
  <c r="N345"/>
  <c r="O345" s="1"/>
  <c r="J345"/>
  <c r="K345" s="1"/>
  <c r="O350"/>
  <c r="J350"/>
  <c r="K350" s="1"/>
  <c r="O347"/>
  <c r="J347"/>
  <c r="K347" s="1"/>
  <c r="N100"/>
  <c r="N9"/>
  <c r="O9" s="1"/>
  <c r="J9"/>
  <c r="K9" s="1"/>
  <c r="N496" l="1"/>
  <c r="N478"/>
  <c r="D152"/>
  <c r="F152"/>
  <c r="M152"/>
  <c r="K152" s="1"/>
  <c r="O152" l="1"/>
  <c r="S152" s="1"/>
  <c r="T152" s="1"/>
  <c r="X152" s="1"/>
  <c r="Z152" l="1"/>
  <c r="AA152" s="1"/>
  <c r="U152"/>
  <c r="V152" s="1"/>
  <c r="W152" l="1"/>
  <c r="N195" l="1"/>
  <c r="N198"/>
  <c r="N204"/>
  <c r="N412"/>
  <c r="N209"/>
  <c r="N192"/>
  <c r="J163"/>
  <c r="K163" s="1"/>
  <c r="N163"/>
  <c r="O163" s="1"/>
  <c r="N157"/>
  <c r="N156"/>
  <c r="O156" s="1"/>
  <c r="J156"/>
  <c r="K156" s="1"/>
  <c r="J157"/>
  <c r="K157" s="1"/>
  <c r="O157"/>
  <c r="N410"/>
  <c r="N180"/>
  <c r="N187"/>
  <c r="N199"/>
  <c r="M199" s="1"/>
  <c r="N193"/>
  <c r="M193" s="1"/>
  <c r="N197"/>
  <c r="N201"/>
  <c r="N66"/>
  <c r="N446"/>
  <c r="O199" l="1"/>
  <c r="K199"/>
  <c r="O193"/>
  <c r="K193"/>
  <c r="N445"/>
  <c r="O445" s="1"/>
  <c r="N444"/>
  <c r="O444" s="1"/>
  <c r="J444"/>
  <c r="K444" s="1"/>
  <c r="N485"/>
  <c r="O485" s="1"/>
  <c r="J485"/>
  <c r="K485" s="1"/>
  <c r="O446"/>
  <c r="J446"/>
  <c r="K446" s="1"/>
  <c r="J445"/>
  <c r="K445" s="1"/>
  <c r="N184"/>
  <c r="O184" s="1"/>
  <c r="J184"/>
  <c r="K184" s="1"/>
  <c r="N490"/>
  <c r="N486"/>
  <c r="N494"/>
  <c r="D376" l="1"/>
  <c r="F376"/>
  <c r="M376"/>
  <c r="O376" s="1"/>
  <c r="S376" s="1"/>
  <c r="T376" s="1"/>
  <c r="N292"/>
  <c r="N33"/>
  <c r="M33" s="1"/>
  <c r="N387"/>
  <c r="M387" s="1"/>
  <c r="N183"/>
  <c r="M183"/>
  <c r="K183" s="1"/>
  <c r="N22"/>
  <c r="M22"/>
  <c r="M292"/>
  <c r="N282"/>
  <c r="M282"/>
  <c r="N279"/>
  <c r="M279"/>
  <c r="N436"/>
  <c r="M436"/>
  <c r="N43"/>
  <c r="M43"/>
  <c r="N415"/>
  <c r="M415" s="1"/>
  <c r="N305"/>
  <c r="M305" s="1"/>
  <c r="N138"/>
  <c r="M138"/>
  <c r="K138" s="1"/>
  <c r="N140"/>
  <c r="M140"/>
  <c r="N136"/>
  <c r="M136"/>
  <c r="N425"/>
  <c r="M425"/>
  <c r="N471"/>
  <c r="M471"/>
  <c r="N246"/>
  <c r="M246"/>
  <c r="N233"/>
  <c r="M233"/>
  <c r="N385"/>
  <c r="M385" s="1"/>
  <c r="N103"/>
  <c r="N330"/>
  <c r="M330" s="1"/>
  <c r="N423"/>
  <c r="M423"/>
  <c r="N208"/>
  <c r="M208"/>
  <c r="K208" s="1"/>
  <c r="N130"/>
  <c r="M130"/>
  <c r="K130" s="1"/>
  <c r="N28"/>
  <c r="M28"/>
  <c r="K28" s="1"/>
  <c r="N499"/>
  <c r="M499"/>
  <c r="K499" s="1"/>
  <c r="N475"/>
  <c r="M475"/>
  <c r="N465"/>
  <c r="M465"/>
  <c r="K465" s="1"/>
  <c r="N271"/>
  <c r="M271"/>
  <c r="N75"/>
  <c r="M75"/>
  <c r="K75" s="1"/>
  <c r="N313"/>
  <c r="M313"/>
  <c r="N432"/>
  <c r="M432" s="1"/>
  <c r="N375"/>
  <c r="M375" s="1"/>
  <c r="N323"/>
  <c r="N220"/>
  <c r="M220"/>
  <c r="N12"/>
  <c r="M12" s="1"/>
  <c r="M398"/>
  <c r="N298"/>
  <c r="O298" s="1"/>
  <c r="J298"/>
  <c r="K298" s="1"/>
  <c r="O246" l="1"/>
  <c r="O425"/>
  <c r="O140"/>
  <c r="O436"/>
  <c r="O282"/>
  <c r="O423"/>
  <c r="O271"/>
  <c r="O475"/>
  <c r="O22"/>
  <c r="O313"/>
  <c r="O220"/>
  <c r="O233"/>
  <c r="O471"/>
  <c r="O136"/>
  <c r="O43"/>
  <c r="O279"/>
  <c r="O292"/>
  <c r="K423"/>
  <c r="K376"/>
  <c r="Z376"/>
  <c r="AA376" s="1"/>
  <c r="U376"/>
  <c r="X376"/>
  <c r="O33"/>
  <c r="K33"/>
  <c r="O387"/>
  <c r="K387"/>
  <c r="O183"/>
  <c r="K22"/>
  <c r="K292"/>
  <c r="K282"/>
  <c r="K279"/>
  <c r="K436"/>
  <c r="K43"/>
  <c r="K415"/>
  <c r="O415"/>
  <c r="O305"/>
  <c r="K305"/>
  <c r="O138"/>
  <c r="O130"/>
  <c r="K140"/>
  <c r="K136"/>
  <c r="K425"/>
  <c r="K471"/>
  <c r="K246"/>
  <c r="K233"/>
  <c r="O385"/>
  <c r="K385"/>
  <c r="M103"/>
  <c r="K103" s="1"/>
  <c r="O330"/>
  <c r="K330"/>
  <c r="O75"/>
  <c r="O465"/>
  <c r="O499"/>
  <c r="O208"/>
  <c r="O28"/>
  <c r="K475"/>
  <c r="K271"/>
  <c r="K313"/>
  <c r="O432"/>
  <c r="K432"/>
  <c r="O375"/>
  <c r="K375"/>
  <c r="M323"/>
  <c r="K323" s="1"/>
  <c r="K220"/>
  <c r="K12"/>
  <c r="O12"/>
  <c r="V376" l="1"/>
  <c r="W376"/>
  <c r="O103"/>
  <c r="O323"/>
  <c r="F494" l="1"/>
  <c r="N453"/>
  <c r="O453" s="1"/>
  <c r="N461"/>
  <c r="O461" s="1"/>
  <c r="N456"/>
  <c r="O456" s="1"/>
  <c r="N458"/>
  <c r="M458"/>
  <c r="J458" s="1"/>
  <c r="K458" s="1"/>
  <c r="N468"/>
  <c r="M468"/>
  <c r="J468" s="1"/>
  <c r="K468" s="1"/>
  <c r="N467"/>
  <c r="O467" s="1"/>
  <c r="N464"/>
  <c r="O464" s="1"/>
  <c r="N482"/>
  <c r="N480"/>
  <c r="O480" s="1"/>
  <c r="N491"/>
  <c r="N455"/>
  <c r="O455" s="1"/>
  <c r="N488"/>
  <c r="N495"/>
  <c r="O495" s="1"/>
  <c r="N497"/>
  <c r="O497" s="1"/>
  <c r="N460"/>
  <c r="O460" s="1"/>
  <c r="N470"/>
  <c r="O470" s="1"/>
  <c r="N473"/>
  <c r="O473" s="1"/>
  <c r="N462"/>
  <c r="O462" s="1"/>
  <c r="N244"/>
  <c r="O244" s="1"/>
  <c r="N477"/>
  <c r="O477" s="1"/>
  <c r="N459"/>
  <c r="O459" s="1"/>
  <c r="N463"/>
  <c r="O463" s="1"/>
  <c r="J463"/>
  <c r="K463" s="1"/>
  <c r="N447"/>
  <c r="O447" s="1"/>
  <c r="N469"/>
  <c r="O469" s="1"/>
  <c r="O491"/>
  <c r="J491"/>
  <c r="K491" s="1"/>
  <c r="J497"/>
  <c r="K497" s="1"/>
  <c r="J495"/>
  <c r="K495" s="1"/>
  <c r="O494"/>
  <c r="J494"/>
  <c r="K494" s="1"/>
  <c r="O490"/>
  <c r="J490"/>
  <c r="K490" s="1"/>
  <c r="O489"/>
  <c r="J489"/>
  <c r="K489" s="1"/>
  <c r="O488"/>
  <c r="J488"/>
  <c r="K488" s="1"/>
  <c r="O486"/>
  <c r="J486"/>
  <c r="K486" s="1"/>
  <c r="O482"/>
  <c r="J482"/>
  <c r="K482" s="1"/>
  <c r="J480"/>
  <c r="K480" s="1"/>
  <c r="J477"/>
  <c r="K477" s="1"/>
  <c r="J473"/>
  <c r="K473" s="1"/>
  <c r="J470"/>
  <c r="K470" s="1"/>
  <c r="J469"/>
  <c r="K469" s="1"/>
  <c r="J467"/>
  <c r="K467" s="1"/>
  <c r="J244"/>
  <c r="K244" s="1"/>
  <c r="J464"/>
  <c r="K464" s="1"/>
  <c r="J462"/>
  <c r="K462" s="1"/>
  <c r="J461"/>
  <c r="K461" s="1"/>
  <c r="J460"/>
  <c r="K460" s="1"/>
  <c r="J459"/>
  <c r="K459" s="1"/>
  <c r="J456"/>
  <c r="K456" s="1"/>
  <c r="J455"/>
  <c r="K455" s="1"/>
  <c r="J453"/>
  <c r="K453" s="1"/>
  <c r="J447"/>
  <c r="K447" s="1"/>
  <c r="N503"/>
  <c r="O503" s="1"/>
  <c r="N322"/>
  <c r="N319"/>
  <c r="N370"/>
  <c r="M370" s="1"/>
  <c r="N119"/>
  <c r="M119" s="1"/>
  <c r="O119" s="1"/>
  <c r="O458" l="1"/>
  <c r="O468"/>
  <c r="J503"/>
  <c r="K503" s="1"/>
  <c r="K119"/>
  <c r="O370"/>
  <c r="K370"/>
  <c r="N203" l="1"/>
  <c r="D104"/>
  <c r="N366" l="1"/>
  <c r="N47"/>
  <c r="N50"/>
  <c r="N260" l="1"/>
  <c r="N378"/>
  <c r="M378" s="1"/>
  <c r="O378" s="1"/>
  <c r="S378" s="1"/>
  <c r="T378" s="1"/>
  <c r="N178"/>
  <c r="M178"/>
  <c r="J178" s="1"/>
  <c r="K178" s="1"/>
  <c r="N144"/>
  <c r="O144" s="1"/>
  <c r="S144" s="1"/>
  <c r="T144" s="1"/>
  <c r="N196"/>
  <c r="O196" s="1"/>
  <c r="S196" s="1"/>
  <c r="T196" s="1"/>
  <c r="J196"/>
  <c r="K196" s="1"/>
  <c r="J144"/>
  <c r="K144" s="1"/>
  <c r="N476"/>
  <c r="N26"/>
  <c r="O26" s="1"/>
  <c r="S26" s="1"/>
  <c r="T26" s="1"/>
  <c r="J26"/>
  <c r="K26" s="1"/>
  <c r="J476"/>
  <c r="K476" s="1"/>
  <c r="N301"/>
  <c r="O301" s="1"/>
  <c r="S301" s="1"/>
  <c r="T301" s="1"/>
  <c r="J301"/>
  <c r="K301" s="1"/>
  <c r="N333"/>
  <c r="N143"/>
  <c r="J333"/>
  <c r="K333" s="1"/>
  <c r="N334"/>
  <c r="O334" s="1"/>
  <c r="S334" s="1"/>
  <c r="T334" s="1"/>
  <c r="N332"/>
  <c r="O332" s="1"/>
  <c r="S332" s="1"/>
  <c r="T332" s="1"/>
  <c r="N335"/>
  <c r="O335" s="1"/>
  <c r="S335" s="1"/>
  <c r="T335" s="1"/>
  <c r="N336"/>
  <c r="O336" s="1"/>
  <c r="S336" s="1"/>
  <c r="T336" s="1"/>
  <c r="N337"/>
  <c r="O337" s="1"/>
  <c r="S337" s="1"/>
  <c r="T337" s="1"/>
  <c r="J336"/>
  <c r="K336" s="1"/>
  <c r="J334"/>
  <c r="K334" s="1"/>
  <c r="J332"/>
  <c r="K332" s="1"/>
  <c r="J337"/>
  <c r="K337" s="1"/>
  <c r="J335"/>
  <c r="K335" s="1"/>
  <c r="N325"/>
  <c r="N74"/>
  <c r="J74"/>
  <c r="M74" s="1"/>
  <c r="O74" s="1"/>
  <c r="S74" s="1"/>
  <c r="T74" s="1"/>
  <c r="J253"/>
  <c r="N253"/>
  <c r="N249"/>
  <c r="J249"/>
  <c r="M249" s="1"/>
  <c r="O249" s="1"/>
  <c r="S249" s="1"/>
  <c r="T249" s="1"/>
  <c r="N277"/>
  <c r="N256"/>
  <c r="J256"/>
  <c r="N261"/>
  <c r="M261" s="1"/>
  <c r="K261" s="1"/>
  <c r="J261"/>
  <c r="J273"/>
  <c r="N273"/>
  <c r="N266"/>
  <c r="M266" s="1"/>
  <c r="K266" s="1"/>
  <c r="J266"/>
  <c r="N27"/>
  <c r="M27" s="1"/>
  <c r="K27" s="1"/>
  <c r="O113"/>
  <c r="S113" s="1"/>
  <c r="T113" s="1"/>
  <c r="S374"/>
  <c r="T374" s="1"/>
  <c r="O392"/>
  <c r="S392" s="1"/>
  <c r="T392" s="1"/>
  <c r="O502"/>
  <c r="S502" s="1"/>
  <c r="T502" s="1"/>
  <c r="S503"/>
  <c r="T503" s="1"/>
  <c r="S509"/>
  <c r="T509" s="1"/>
  <c r="S506"/>
  <c r="T506" s="1"/>
  <c r="M37"/>
  <c r="O37" s="1"/>
  <c r="S37" s="1"/>
  <c r="T37" s="1"/>
  <c r="M40"/>
  <c r="O40" s="1"/>
  <c r="S40" s="1"/>
  <c r="T40" s="1"/>
  <c r="M36"/>
  <c r="K36" s="1"/>
  <c r="M41"/>
  <c r="K41" s="1"/>
  <c r="S43"/>
  <c r="T43" s="1"/>
  <c r="M32"/>
  <c r="O32" s="1"/>
  <c r="S32" s="1"/>
  <c r="T32" s="1"/>
  <c r="S33"/>
  <c r="T33" s="1"/>
  <c r="M58"/>
  <c r="O58" s="1"/>
  <c r="S58" s="1"/>
  <c r="T58" s="1"/>
  <c r="M51"/>
  <c r="O51" s="1"/>
  <c r="S51" s="1"/>
  <c r="T51" s="1"/>
  <c r="M57"/>
  <c r="K57" s="1"/>
  <c r="M47"/>
  <c r="O47" s="1"/>
  <c r="S47" s="1"/>
  <c r="T47" s="1"/>
  <c r="M50"/>
  <c r="K50" s="1"/>
  <c r="M54"/>
  <c r="O54" s="1"/>
  <c r="S54" s="1"/>
  <c r="T54" s="1"/>
  <c r="M53"/>
  <c r="O53" s="1"/>
  <c r="S53" s="1"/>
  <c r="T53" s="1"/>
  <c r="M52"/>
  <c r="K52" s="1"/>
  <c r="M23"/>
  <c r="O23" s="1"/>
  <c r="S23" s="1"/>
  <c r="T23" s="1"/>
  <c r="S22"/>
  <c r="T22" s="1"/>
  <c r="S9"/>
  <c r="T9" s="1"/>
  <c r="M325"/>
  <c r="O325" s="1"/>
  <c r="S325" s="1"/>
  <c r="T325" s="1"/>
  <c r="M322"/>
  <c r="O322" s="1"/>
  <c r="S322" s="1"/>
  <c r="T322" s="1"/>
  <c r="M319"/>
  <c r="K319" s="1"/>
  <c r="M315"/>
  <c r="K315" s="1"/>
  <c r="M314"/>
  <c r="O314" s="1"/>
  <c r="S314" s="1"/>
  <c r="T314" s="1"/>
  <c r="S491"/>
  <c r="T491" s="1"/>
  <c r="S497"/>
  <c r="T497" s="1"/>
  <c r="M496"/>
  <c r="O496" s="1"/>
  <c r="S496" s="1"/>
  <c r="T496" s="1"/>
  <c r="S495"/>
  <c r="T495" s="1"/>
  <c r="M493"/>
  <c r="O493" s="1"/>
  <c r="S493" s="1"/>
  <c r="T493" s="1"/>
  <c r="S490"/>
  <c r="T490" s="1"/>
  <c r="S489"/>
  <c r="T489" s="1"/>
  <c r="S488"/>
  <c r="T488" s="1"/>
  <c r="S486"/>
  <c r="T486" s="1"/>
  <c r="S485"/>
  <c r="T485" s="1"/>
  <c r="S482"/>
  <c r="T482" s="1"/>
  <c r="S480"/>
  <c r="T480" s="1"/>
  <c r="M478"/>
  <c r="O478" s="1"/>
  <c r="S478" s="1"/>
  <c r="T478" s="1"/>
  <c r="S477"/>
  <c r="T477" s="1"/>
  <c r="S473"/>
  <c r="T473" s="1"/>
  <c r="S470"/>
  <c r="T470" s="1"/>
  <c r="S469"/>
  <c r="T469" s="1"/>
  <c r="S468"/>
  <c r="T468" s="1"/>
  <c r="S244"/>
  <c r="T244" s="1"/>
  <c r="S463"/>
  <c r="T463" s="1"/>
  <c r="S462"/>
  <c r="T462" s="1"/>
  <c r="S461"/>
  <c r="T461" s="1"/>
  <c r="S459"/>
  <c r="T459" s="1"/>
  <c r="S458"/>
  <c r="T458" s="1"/>
  <c r="S456"/>
  <c r="T456" s="1"/>
  <c r="S455"/>
  <c r="T455" s="1"/>
  <c r="S453"/>
  <c r="T453" s="1"/>
  <c r="M451"/>
  <c r="O451" s="1"/>
  <c r="S451" s="1"/>
  <c r="T451" s="1"/>
  <c r="S449"/>
  <c r="T449" s="1"/>
  <c r="S447"/>
  <c r="T447" s="1"/>
  <c r="S446"/>
  <c r="T446" s="1"/>
  <c r="S445"/>
  <c r="T445" s="1"/>
  <c r="S444"/>
  <c r="T444" s="1"/>
  <c r="S345"/>
  <c r="T345" s="1"/>
  <c r="M341"/>
  <c r="O341" s="1"/>
  <c r="S341" s="1"/>
  <c r="T341" s="1"/>
  <c r="S350"/>
  <c r="T350" s="1"/>
  <c r="M349"/>
  <c r="O349" s="1"/>
  <c r="S349" s="1"/>
  <c r="T349" s="1"/>
  <c r="M348"/>
  <c r="K348" s="1"/>
  <c r="S347"/>
  <c r="T347" s="1"/>
  <c r="O333"/>
  <c r="S333" s="1"/>
  <c r="T333" s="1"/>
  <c r="O398"/>
  <c r="M366"/>
  <c r="O366" s="1"/>
  <c r="S366" s="1"/>
  <c r="T366" s="1"/>
  <c r="M367"/>
  <c r="O367" s="1"/>
  <c r="S367" s="1"/>
  <c r="T367" s="1"/>
  <c r="M338"/>
  <c r="O338" s="1"/>
  <c r="S338" s="1"/>
  <c r="T338" s="1"/>
  <c r="M390"/>
  <c r="O390" s="1"/>
  <c r="S390" s="1"/>
  <c r="T390" s="1"/>
  <c r="M389"/>
  <c r="O389" s="1"/>
  <c r="S389" s="1"/>
  <c r="T389" s="1"/>
  <c r="M388"/>
  <c r="O388" s="1"/>
  <c r="S388" s="1"/>
  <c r="T388" s="1"/>
  <c r="S387"/>
  <c r="T387" s="1"/>
  <c r="M386"/>
  <c r="O386" s="1"/>
  <c r="S386" s="1"/>
  <c r="T386" s="1"/>
  <c r="M382"/>
  <c r="O382" s="1"/>
  <c r="S382" s="1"/>
  <c r="T382" s="1"/>
  <c r="M128"/>
  <c r="O128" s="1"/>
  <c r="S128" s="1"/>
  <c r="T128" s="1"/>
  <c r="M381"/>
  <c r="O381" s="1"/>
  <c r="S381" s="1"/>
  <c r="T381" s="1"/>
  <c r="M359"/>
  <c r="O359" s="1"/>
  <c r="S359" s="1"/>
  <c r="T359" s="1"/>
  <c r="M373"/>
  <c r="O373" s="1"/>
  <c r="S373" s="1"/>
  <c r="T373" s="1"/>
  <c r="M371"/>
  <c r="O371" s="1"/>
  <c r="S371" s="1"/>
  <c r="T371" s="1"/>
  <c r="M430"/>
  <c r="O430" s="1"/>
  <c r="S430" s="1"/>
  <c r="T430" s="1"/>
  <c r="S437"/>
  <c r="T437" s="1"/>
  <c r="M417"/>
  <c r="O417" s="1"/>
  <c r="S417" s="1"/>
  <c r="T417" s="1"/>
  <c r="M416"/>
  <c r="O416" s="1"/>
  <c r="S416" s="1"/>
  <c r="T416" s="1"/>
  <c r="S415"/>
  <c r="T415" s="1"/>
  <c r="M413"/>
  <c r="O413" s="1"/>
  <c r="S413" s="1"/>
  <c r="T413" s="1"/>
  <c r="M412"/>
  <c r="K412" s="1"/>
  <c r="S429"/>
  <c r="T429" s="1"/>
  <c r="S428"/>
  <c r="T428" s="1"/>
  <c r="M410"/>
  <c r="K410" s="1"/>
  <c r="M409"/>
  <c r="O409" s="1"/>
  <c r="S409" s="1"/>
  <c r="T409" s="1"/>
  <c r="M406"/>
  <c r="O406" s="1"/>
  <c r="S406" s="1"/>
  <c r="T406" s="1"/>
  <c r="M404"/>
  <c r="K404" s="1"/>
  <c r="S427"/>
  <c r="T427" s="1"/>
  <c r="M426"/>
  <c r="O426" s="1"/>
  <c r="S426" s="1"/>
  <c r="T426" s="1"/>
  <c r="S237"/>
  <c r="T237" s="1"/>
  <c r="M245"/>
  <c r="O245" s="1"/>
  <c r="S245" s="1"/>
  <c r="T245" s="1"/>
  <c r="S246"/>
  <c r="T246" s="1"/>
  <c r="M69"/>
  <c r="O69" s="1"/>
  <c r="S69" s="1"/>
  <c r="T69" s="1"/>
  <c r="M81"/>
  <c r="O81" s="1"/>
  <c r="S81" s="1"/>
  <c r="T81" s="1"/>
  <c r="M83"/>
  <c r="O83" s="1"/>
  <c r="S83" s="1"/>
  <c r="T83" s="1"/>
  <c r="M431"/>
  <c r="O431" s="1"/>
  <c r="S431" s="1"/>
  <c r="T431" s="1"/>
  <c r="S420"/>
  <c r="T420" s="1"/>
  <c r="S433"/>
  <c r="T433" s="1"/>
  <c r="S434"/>
  <c r="T434" s="1"/>
  <c r="S435"/>
  <c r="T435" s="1"/>
  <c r="S421"/>
  <c r="T421" s="1"/>
  <c r="S436"/>
  <c r="T436" s="1"/>
  <c r="M418"/>
  <c r="O418" s="1"/>
  <c r="S418" s="1"/>
  <c r="T418" s="1"/>
  <c r="M234"/>
  <c r="K234" s="1"/>
  <c r="M225"/>
  <c r="O225" s="1"/>
  <c r="S225" s="1"/>
  <c r="T225" s="1"/>
  <c r="M224"/>
  <c r="O224" s="1"/>
  <c r="S224" s="1"/>
  <c r="T224" s="1"/>
  <c r="M312"/>
  <c r="O312" s="1"/>
  <c r="S312" s="1"/>
  <c r="T312" s="1"/>
  <c r="M307"/>
  <c r="O307" s="1"/>
  <c r="S307" s="1"/>
  <c r="T307" s="1"/>
  <c r="S305"/>
  <c r="T305" s="1"/>
  <c r="M300"/>
  <c r="O300" s="1"/>
  <c r="S300" s="1"/>
  <c r="T300" s="1"/>
  <c r="M299"/>
  <c r="O299" s="1"/>
  <c r="S299" s="1"/>
  <c r="T299" s="1"/>
  <c r="M297"/>
  <c r="M294"/>
  <c r="K294" s="1"/>
  <c r="S292"/>
  <c r="T292" s="1"/>
  <c r="M290"/>
  <c r="O290" s="1"/>
  <c r="S290" s="1"/>
  <c r="T290" s="1"/>
  <c r="S282"/>
  <c r="T282" s="1"/>
  <c r="M260"/>
  <c r="O260" s="1"/>
  <c r="S260" s="1"/>
  <c r="T260" s="1"/>
  <c r="M262"/>
  <c r="O262" s="1"/>
  <c r="S262" s="1"/>
  <c r="T262" s="1"/>
  <c r="M264"/>
  <c r="O264" s="1"/>
  <c r="S264" s="1"/>
  <c r="T264" s="1"/>
  <c r="M267"/>
  <c r="O267" s="1"/>
  <c r="S267" s="1"/>
  <c r="T267" s="1"/>
  <c r="M268"/>
  <c r="O268" s="1"/>
  <c r="S268" s="1"/>
  <c r="T268" s="1"/>
  <c r="M273"/>
  <c r="O273" s="1"/>
  <c r="S273" s="1"/>
  <c r="T273" s="1"/>
  <c r="M277"/>
  <c r="O277" s="1"/>
  <c r="S277" s="1"/>
  <c r="T277" s="1"/>
  <c r="M256"/>
  <c r="O256" s="1"/>
  <c r="S256" s="1"/>
  <c r="T256" s="1"/>
  <c r="M65"/>
  <c r="O65" s="1"/>
  <c r="S65" s="1"/>
  <c r="T65" s="1"/>
  <c r="M5"/>
  <c r="O5" s="1"/>
  <c r="S5" s="1"/>
  <c r="T5" s="1"/>
  <c r="M6"/>
  <c r="O6" s="1"/>
  <c r="S6" s="1"/>
  <c r="T6" s="1"/>
  <c r="M7"/>
  <c r="O7" s="1"/>
  <c r="S7" s="1"/>
  <c r="T7" s="1"/>
  <c r="M250"/>
  <c r="O250" s="1"/>
  <c r="S250" s="1"/>
  <c r="T250" s="1"/>
  <c r="M252"/>
  <c r="K252" s="1"/>
  <c r="M253"/>
  <c r="O253" s="1"/>
  <c r="S253" s="1"/>
  <c r="T253" s="1"/>
  <c r="M63"/>
  <c r="O63" s="1"/>
  <c r="S63" s="1"/>
  <c r="T63" s="1"/>
  <c r="M66"/>
  <c r="K66" s="1"/>
  <c r="M61"/>
  <c r="O61" s="1"/>
  <c r="S61" s="1"/>
  <c r="T61" s="1"/>
  <c r="M60"/>
  <c r="O60" s="1"/>
  <c r="S60" s="1"/>
  <c r="T60" s="1"/>
  <c r="M59"/>
  <c r="O59" s="1"/>
  <c r="S59" s="1"/>
  <c r="T59" s="1"/>
  <c r="M124"/>
  <c r="O124" s="1"/>
  <c r="S124" s="1"/>
  <c r="T124" s="1"/>
  <c r="M108"/>
  <c r="O108" s="1"/>
  <c r="S108" s="1"/>
  <c r="T108" s="1"/>
  <c r="M102"/>
  <c r="O102" s="1"/>
  <c r="S102" s="1"/>
  <c r="T102" s="1"/>
  <c r="M115"/>
  <c r="O115" s="1"/>
  <c r="S115" s="1"/>
  <c r="T115" s="1"/>
  <c r="M399"/>
  <c r="O399" s="1"/>
  <c r="S399" s="1"/>
  <c r="T399" s="1"/>
  <c r="M114"/>
  <c r="O114" s="1"/>
  <c r="S114" s="1"/>
  <c r="T114" s="1"/>
  <c r="M95"/>
  <c r="O95" s="1"/>
  <c r="S95" s="1"/>
  <c r="T95" s="1"/>
  <c r="M100"/>
  <c r="O100" s="1"/>
  <c r="S100" s="1"/>
  <c r="T100" s="1"/>
  <c r="S119"/>
  <c r="T119" s="1"/>
  <c r="M394"/>
  <c r="O394" s="1"/>
  <c r="S394" s="1"/>
  <c r="T394" s="1"/>
  <c r="M99"/>
  <c r="O99" s="1"/>
  <c r="S99" s="1"/>
  <c r="T99" s="1"/>
  <c r="M134"/>
  <c r="O134" s="1"/>
  <c r="S134" s="1"/>
  <c r="T134" s="1"/>
  <c r="M133"/>
  <c r="K133" s="1"/>
  <c r="M132"/>
  <c r="K132" s="1"/>
  <c r="M131"/>
  <c r="O131" s="1"/>
  <c r="S131" s="1"/>
  <c r="T131" s="1"/>
  <c r="M129"/>
  <c r="K129" s="1"/>
  <c r="M143"/>
  <c r="O143" s="1"/>
  <c r="S143" s="1"/>
  <c r="T143" s="1"/>
  <c r="S140"/>
  <c r="T140" s="1"/>
  <c r="S138"/>
  <c r="T138" s="1"/>
  <c r="S136"/>
  <c r="T136" s="1"/>
  <c r="M135"/>
  <c r="K135" s="1"/>
  <c r="M210"/>
  <c r="K210" s="1"/>
  <c r="M209"/>
  <c r="O209" s="1"/>
  <c r="S209" s="1"/>
  <c r="T209" s="1"/>
  <c r="M207"/>
  <c r="O207" s="1"/>
  <c r="S207" s="1"/>
  <c r="T207" s="1"/>
  <c r="M204"/>
  <c r="O204" s="1"/>
  <c r="S204" s="1"/>
  <c r="T204" s="1"/>
  <c r="M203"/>
  <c r="K203" s="1"/>
  <c r="M202"/>
  <c r="K202" s="1"/>
  <c r="M201"/>
  <c r="O201" s="1"/>
  <c r="S201" s="1"/>
  <c r="T201" s="1"/>
  <c r="M200"/>
  <c r="O200" s="1"/>
  <c r="S200" s="1"/>
  <c r="T200" s="1"/>
  <c r="S199"/>
  <c r="T199" s="1"/>
  <c r="M198"/>
  <c r="K198" s="1"/>
  <c r="M197"/>
  <c r="O197" s="1"/>
  <c r="S197" s="1"/>
  <c r="T197" s="1"/>
  <c r="M195"/>
  <c r="O195" s="1"/>
  <c r="S195" s="1"/>
  <c r="T195" s="1"/>
  <c r="M194"/>
  <c r="K194" s="1"/>
  <c r="S193"/>
  <c r="T193" s="1"/>
  <c r="M192"/>
  <c r="O192" s="1"/>
  <c r="S192" s="1"/>
  <c r="T192" s="1"/>
  <c r="M191"/>
  <c r="O191" s="1"/>
  <c r="S191" s="1"/>
  <c r="T191" s="1"/>
  <c r="M190"/>
  <c r="K190" s="1"/>
  <c r="M189"/>
  <c r="O189" s="1"/>
  <c r="S189" s="1"/>
  <c r="T189" s="1"/>
  <c r="M187"/>
  <c r="O187" s="1"/>
  <c r="S187" s="1"/>
  <c r="T187" s="1"/>
  <c r="M153"/>
  <c r="O153" s="1"/>
  <c r="S153" s="1"/>
  <c r="T153" s="1"/>
  <c r="M148"/>
  <c r="O148" s="1"/>
  <c r="S148" s="1"/>
  <c r="T148" s="1"/>
  <c r="M151"/>
  <c r="O151" s="1"/>
  <c r="S151" s="1"/>
  <c r="T151" s="1"/>
  <c r="M150"/>
  <c r="O150" s="1"/>
  <c r="S150" s="1"/>
  <c r="T150" s="1"/>
  <c r="M182"/>
  <c r="O182" s="1"/>
  <c r="S182" s="1"/>
  <c r="T182" s="1"/>
  <c r="M181"/>
  <c r="O181" s="1"/>
  <c r="S181" s="1"/>
  <c r="T181" s="1"/>
  <c r="M180"/>
  <c r="O180" s="1"/>
  <c r="S180" s="1"/>
  <c r="T180" s="1"/>
  <c r="M179"/>
  <c r="O179" s="1"/>
  <c r="S179" s="1"/>
  <c r="T179" s="1"/>
  <c r="M175"/>
  <c r="O175" s="1"/>
  <c r="S175" s="1"/>
  <c r="T175" s="1"/>
  <c r="M174"/>
  <c r="O174" s="1"/>
  <c r="S174" s="1"/>
  <c r="T174" s="1"/>
  <c r="M173"/>
  <c r="O173" s="1"/>
  <c r="S173" s="1"/>
  <c r="T173" s="1"/>
  <c r="M172"/>
  <c r="O172" s="1"/>
  <c r="S172" s="1"/>
  <c r="T172" s="1"/>
  <c r="M171"/>
  <c r="O171" s="1"/>
  <c r="S171" s="1"/>
  <c r="T171" s="1"/>
  <c r="M160"/>
  <c r="O160" s="1"/>
  <c r="S160" s="1"/>
  <c r="T160" s="1"/>
  <c r="M161"/>
  <c r="K161" s="1"/>
  <c r="M162"/>
  <c r="O162" s="1"/>
  <c r="S162" s="1"/>
  <c r="T162" s="1"/>
  <c r="S163"/>
  <c r="T163" s="1"/>
  <c r="M164"/>
  <c r="O164" s="1"/>
  <c r="S164" s="1"/>
  <c r="T164" s="1"/>
  <c r="M165"/>
  <c r="K165" s="1"/>
  <c r="M145"/>
  <c r="O145" s="1"/>
  <c r="S145" s="1"/>
  <c r="T145" s="1"/>
  <c r="M166"/>
  <c r="O166" s="1"/>
  <c r="S166" s="1"/>
  <c r="T166" s="1"/>
  <c r="M146"/>
  <c r="O146" s="1"/>
  <c r="S146" s="1"/>
  <c r="T146" s="1"/>
  <c r="M167"/>
  <c r="K167" s="1"/>
  <c r="M168"/>
  <c r="O168" s="1"/>
  <c r="S168" s="1"/>
  <c r="T168" s="1"/>
  <c r="M169"/>
  <c r="O169" s="1"/>
  <c r="S169" s="1"/>
  <c r="T169" s="1"/>
  <c r="M147"/>
  <c r="O147" s="1"/>
  <c r="S147" s="1"/>
  <c r="T147" s="1"/>
  <c r="M205"/>
  <c r="K205" s="1"/>
  <c r="M354"/>
  <c r="O354" s="1"/>
  <c r="S354" s="1"/>
  <c r="T354" s="1"/>
  <c r="M396"/>
  <c r="O396" s="1"/>
  <c r="S396" s="1"/>
  <c r="T396" s="1"/>
  <c r="M368"/>
  <c r="O368" s="1"/>
  <c r="S368" s="1"/>
  <c r="T368" s="1"/>
  <c r="S183"/>
  <c r="T183" s="1"/>
  <c r="U183" s="1"/>
  <c r="M154"/>
  <c r="K154" s="1"/>
  <c r="M155"/>
  <c r="O155" s="1"/>
  <c r="S155" s="1"/>
  <c r="T155" s="1"/>
  <c r="S156"/>
  <c r="T156" s="1"/>
  <c r="M185"/>
  <c r="M158"/>
  <c r="O158" s="1"/>
  <c r="S158" s="1"/>
  <c r="T158" s="1"/>
  <c r="K113"/>
  <c r="K397"/>
  <c r="K392"/>
  <c r="K54"/>
  <c r="D53"/>
  <c r="F53"/>
  <c r="D350"/>
  <c r="F350"/>
  <c r="D246"/>
  <c r="F246"/>
  <c r="D126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7"/>
  <c r="D288"/>
  <c r="D289"/>
  <c r="D290"/>
  <c r="D291"/>
  <c r="D292"/>
  <c r="D293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7"/>
  <c r="F288"/>
  <c r="F289"/>
  <c r="F290"/>
  <c r="F291"/>
  <c r="F292"/>
  <c r="F293"/>
  <c r="F294"/>
  <c r="F295"/>
  <c r="F296"/>
  <c r="F297"/>
  <c r="F298"/>
  <c r="F299"/>
  <c r="F300"/>
  <c r="D265"/>
  <c r="D266"/>
  <c r="D7"/>
  <c r="F7"/>
  <c r="D6"/>
  <c r="F6"/>
  <c r="D5"/>
  <c r="F5"/>
  <c r="D65"/>
  <c r="F65"/>
  <c r="D113"/>
  <c r="D341"/>
  <c r="D307"/>
  <c r="D301"/>
  <c r="F113"/>
  <c r="K373" l="1"/>
  <c r="K371"/>
  <c r="K367"/>
  <c r="K314"/>
  <c r="S423"/>
  <c r="T423" s="1"/>
  <c r="S330"/>
  <c r="T330" s="1"/>
  <c r="S385"/>
  <c r="T385" s="1"/>
  <c r="K185"/>
  <c r="O185"/>
  <c r="S185" s="1"/>
  <c r="T185" s="1"/>
  <c r="S130"/>
  <c r="T130" s="1"/>
  <c r="O297"/>
  <c r="S297" s="1"/>
  <c r="T297" s="1"/>
  <c r="S465"/>
  <c r="T465" s="1"/>
  <c r="S103"/>
  <c r="T103" s="1"/>
  <c r="S233"/>
  <c r="T233" s="1"/>
  <c r="S475"/>
  <c r="T475" s="1"/>
  <c r="S499"/>
  <c r="T499" s="1"/>
  <c r="S28"/>
  <c r="T28" s="1"/>
  <c r="S208"/>
  <c r="T208" s="1"/>
  <c r="S398"/>
  <c r="T398" s="1"/>
  <c r="S12"/>
  <c r="T12" s="1"/>
  <c r="S313"/>
  <c r="T313" s="1"/>
  <c r="S432"/>
  <c r="T432" s="1"/>
  <c r="S375"/>
  <c r="T375" s="1"/>
  <c r="K69"/>
  <c r="K493"/>
  <c r="K389"/>
  <c r="K128"/>
  <c r="K260"/>
  <c r="U396"/>
  <c r="X396"/>
  <c r="U169"/>
  <c r="X169"/>
  <c r="U166"/>
  <c r="X166"/>
  <c r="U163"/>
  <c r="X163"/>
  <c r="U171"/>
  <c r="X171"/>
  <c r="U175"/>
  <c r="X175"/>
  <c r="U182"/>
  <c r="X182"/>
  <c r="U148"/>
  <c r="X148"/>
  <c r="U199"/>
  <c r="X199"/>
  <c r="U209"/>
  <c r="X209"/>
  <c r="U138"/>
  <c r="X138"/>
  <c r="U134"/>
  <c r="X134"/>
  <c r="U100"/>
  <c r="X100"/>
  <c r="U115"/>
  <c r="X115"/>
  <c r="U124"/>
  <c r="X124"/>
  <c r="U250"/>
  <c r="X250"/>
  <c r="U5"/>
  <c r="X5"/>
  <c r="U268"/>
  <c r="X268"/>
  <c r="U264"/>
  <c r="X264"/>
  <c r="U282"/>
  <c r="X282"/>
  <c r="U305"/>
  <c r="X305"/>
  <c r="U435"/>
  <c r="X435"/>
  <c r="U245"/>
  <c r="X245"/>
  <c r="U426"/>
  <c r="X426"/>
  <c r="U409"/>
  <c r="X409"/>
  <c r="U417"/>
  <c r="X417"/>
  <c r="U382"/>
  <c r="X382"/>
  <c r="U388"/>
  <c r="X388"/>
  <c r="U367"/>
  <c r="X367"/>
  <c r="U347"/>
  <c r="X347"/>
  <c r="U341"/>
  <c r="X341"/>
  <c r="U446"/>
  <c r="X446"/>
  <c r="U453"/>
  <c r="X453"/>
  <c r="U459"/>
  <c r="X459"/>
  <c r="U463"/>
  <c r="X463"/>
  <c r="U477"/>
  <c r="X477"/>
  <c r="U485"/>
  <c r="X485"/>
  <c r="U490"/>
  <c r="X490"/>
  <c r="U496"/>
  <c r="X496"/>
  <c r="U322"/>
  <c r="X322"/>
  <c r="U9"/>
  <c r="X9"/>
  <c r="X53"/>
  <c r="U53"/>
  <c r="U32"/>
  <c r="X32"/>
  <c r="X40"/>
  <c r="U40"/>
  <c r="U503"/>
  <c r="X503"/>
  <c r="U335"/>
  <c r="X335"/>
  <c r="U144"/>
  <c r="X144"/>
  <c r="X158"/>
  <c r="U158"/>
  <c r="U155"/>
  <c r="X155"/>
  <c r="U368"/>
  <c r="X368"/>
  <c r="U147"/>
  <c r="X147"/>
  <c r="U146"/>
  <c r="X146"/>
  <c r="U164"/>
  <c r="X164"/>
  <c r="U160"/>
  <c r="X160"/>
  <c r="U174"/>
  <c r="X174"/>
  <c r="U181"/>
  <c r="X181"/>
  <c r="U189"/>
  <c r="X189"/>
  <c r="U193"/>
  <c r="X193"/>
  <c r="U136"/>
  <c r="X136"/>
  <c r="U119"/>
  <c r="X119"/>
  <c r="U399"/>
  <c r="X399"/>
  <c r="U61"/>
  <c r="X61"/>
  <c r="U6"/>
  <c r="X6"/>
  <c r="U256"/>
  <c r="X256"/>
  <c r="U260"/>
  <c r="X260"/>
  <c r="U300"/>
  <c r="X300"/>
  <c r="U421"/>
  <c r="X421"/>
  <c r="U420"/>
  <c r="X420"/>
  <c r="U81"/>
  <c r="X81"/>
  <c r="U246"/>
  <c r="X246"/>
  <c r="U406"/>
  <c r="X406"/>
  <c r="U429"/>
  <c r="X429"/>
  <c r="U416"/>
  <c r="X416"/>
  <c r="U371"/>
  <c r="X371"/>
  <c r="U128"/>
  <c r="X128"/>
  <c r="U387"/>
  <c r="X387"/>
  <c r="U338"/>
  <c r="X338"/>
  <c r="U333"/>
  <c r="X333"/>
  <c r="U350"/>
  <c r="X350"/>
  <c r="U445"/>
  <c r="X445"/>
  <c r="U451"/>
  <c r="X451"/>
  <c r="U458"/>
  <c r="X458"/>
  <c r="U462"/>
  <c r="X462"/>
  <c r="U244"/>
  <c r="X244"/>
  <c r="U470"/>
  <c r="X470"/>
  <c r="U482"/>
  <c r="X482"/>
  <c r="U489"/>
  <c r="X489"/>
  <c r="U495"/>
  <c r="X495"/>
  <c r="U491"/>
  <c r="X491"/>
  <c r="X26"/>
  <c r="U26"/>
  <c r="X47"/>
  <c r="U47"/>
  <c r="X33"/>
  <c r="U33"/>
  <c r="X509"/>
  <c r="U509"/>
  <c r="U374"/>
  <c r="X374"/>
  <c r="U337"/>
  <c r="X337"/>
  <c r="U334"/>
  <c r="X334"/>
  <c r="U156"/>
  <c r="X156"/>
  <c r="V183"/>
  <c r="W183"/>
  <c r="U173"/>
  <c r="X173"/>
  <c r="U180"/>
  <c r="X180"/>
  <c r="U151"/>
  <c r="X151"/>
  <c r="U187"/>
  <c r="X187"/>
  <c r="U192"/>
  <c r="X192"/>
  <c r="U197"/>
  <c r="X197"/>
  <c r="U201"/>
  <c r="X201"/>
  <c r="U207"/>
  <c r="X207"/>
  <c r="U143"/>
  <c r="X143"/>
  <c r="U394"/>
  <c r="X394"/>
  <c r="U114"/>
  <c r="X114"/>
  <c r="U108"/>
  <c r="X108"/>
  <c r="U60"/>
  <c r="X60"/>
  <c r="U253"/>
  <c r="X253"/>
  <c r="U7"/>
  <c r="X7"/>
  <c r="X273"/>
  <c r="U273"/>
  <c r="U292"/>
  <c r="X292"/>
  <c r="U299"/>
  <c r="X299"/>
  <c r="U312"/>
  <c r="X312"/>
  <c r="U225"/>
  <c r="X225"/>
  <c r="U436"/>
  <c r="X436"/>
  <c r="U433"/>
  <c r="X433"/>
  <c r="U83"/>
  <c r="X83"/>
  <c r="U69"/>
  <c r="X69"/>
  <c r="U428"/>
  <c r="X428"/>
  <c r="U415"/>
  <c r="X415"/>
  <c r="U430"/>
  <c r="X430"/>
  <c r="U359"/>
  <c r="X359"/>
  <c r="U381"/>
  <c r="X381"/>
  <c r="U386"/>
  <c r="X386"/>
  <c r="U390"/>
  <c r="X390"/>
  <c r="U349"/>
  <c r="X349"/>
  <c r="U444"/>
  <c r="X444"/>
  <c r="U449"/>
  <c r="X449"/>
  <c r="U456"/>
  <c r="X456"/>
  <c r="U461"/>
  <c r="X461"/>
  <c r="U469"/>
  <c r="X469"/>
  <c r="U480"/>
  <c r="X480"/>
  <c r="U488"/>
  <c r="X488"/>
  <c r="U325"/>
  <c r="X325"/>
  <c r="X23"/>
  <c r="U23"/>
  <c r="U58"/>
  <c r="X58"/>
  <c r="U506"/>
  <c r="X506"/>
  <c r="U392"/>
  <c r="X392"/>
  <c r="U301"/>
  <c r="X301"/>
  <c r="U196"/>
  <c r="X196"/>
  <c r="U354"/>
  <c r="X354"/>
  <c r="U168"/>
  <c r="X168"/>
  <c r="U145"/>
  <c r="X145"/>
  <c r="U162"/>
  <c r="X162"/>
  <c r="U172"/>
  <c r="X172"/>
  <c r="U179"/>
  <c r="X179"/>
  <c r="U150"/>
  <c r="X150"/>
  <c r="U153"/>
  <c r="X153"/>
  <c r="U191"/>
  <c r="X191"/>
  <c r="U195"/>
  <c r="X195"/>
  <c r="U200"/>
  <c r="X200"/>
  <c r="U204"/>
  <c r="X204"/>
  <c r="U140"/>
  <c r="X140"/>
  <c r="U131"/>
  <c r="X131"/>
  <c r="U99"/>
  <c r="X99"/>
  <c r="U95"/>
  <c r="X95"/>
  <c r="U102"/>
  <c r="X102"/>
  <c r="U59"/>
  <c r="X59"/>
  <c r="U63"/>
  <c r="X63"/>
  <c r="U249"/>
  <c r="X249"/>
  <c r="U65"/>
  <c r="X65"/>
  <c r="U277"/>
  <c r="X277"/>
  <c r="U267"/>
  <c r="X267"/>
  <c r="U262"/>
  <c r="X262"/>
  <c r="X290"/>
  <c r="U290"/>
  <c r="U307"/>
  <c r="X307"/>
  <c r="U224"/>
  <c r="X224"/>
  <c r="U418"/>
  <c r="X418"/>
  <c r="U434"/>
  <c r="X434"/>
  <c r="U431"/>
  <c r="X431"/>
  <c r="U74"/>
  <c r="X74"/>
  <c r="U237"/>
  <c r="X237"/>
  <c r="U427"/>
  <c r="X427"/>
  <c r="U413"/>
  <c r="X413"/>
  <c r="U437"/>
  <c r="X437"/>
  <c r="U373"/>
  <c r="X373"/>
  <c r="U378"/>
  <c r="X378"/>
  <c r="U389"/>
  <c r="X389"/>
  <c r="U366"/>
  <c r="X366"/>
  <c r="U345"/>
  <c r="X345"/>
  <c r="U447"/>
  <c r="X447"/>
  <c r="U455"/>
  <c r="X455"/>
  <c r="U468"/>
  <c r="X468"/>
  <c r="U473"/>
  <c r="X473"/>
  <c r="U478"/>
  <c r="X478"/>
  <c r="U486"/>
  <c r="X486"/>
  <c r="U493"/>
  <c r="X493"/>
  <c r="U497"/>
  <c r="X497"/>
  <c r="U314"/>
  <c r="X314"/>
  <c r="U22"/>
  <c r="X22"/>
  <c r="U54"/>
  <c r="X54"/>
  <c r="X51"/>
  <c r="U51"/>
  <c r="X43"/>
  <c r="U43"/>
  <c r="U37"/>
  <c r="X37"/>
  <c r="U502"/>
  <c r="X502"/>
  <c r="U113"/>
  <c r="X113"/>
  <c r="U336"/>
  <c r="X336"/>
  <c r="U332"/>
  <c r="X332"/>
  <c r="O203"/>
  <c r="S203" s="1"/>
  <c r="T203" s="1"/>
  <c r="K32"/>
  <c r="K322"/>
  <c r="K40"/>
  <c r="K53"/>
  <c r="Z409"/>
  <c r="AA409" s="1"/>
  <c r="Z396"/>
  <c r="AA396" s="1"/>
  <c r="Z169"/>
  <c r="AA169" s="1"/>
  <c r="Z166"/>
  <c r="AA166" s="1"/>
  <c r="Z175"/>
  <c r="AA175" s="1"/>
  <c r="Z148"/>
  <c r="AA148" s="1"/>
  <c r="Z138"/>
  <c r="AA138" s="1"/>
  <c r="Z5"/>
  <c r="AA5" s="1"/>
  <c r="Z268"/>
  <c r="AA268" s="1"/>
  <c r="Z282"/>
  <c r="Z305"/>
  <c r="AA305" s="1"/>
  <c r="Z417"/>
  <c r="AA417" s="1"/>
  <c r="Z382"/>
  <c r="AA382" s="1"/>
  <c r="Z388"/>
  <c r="AA388" s="1"/>
  <c r="Z367"/>
  <c r="AA367" s="1"/>
  <c r="Z459"/>
  <c r="AA459" s="1"/>
  <c r="Z463"/>
  <c r="AA463" s="1"/>
  <c r="Z477"/>
  <c r="AA477" s="1"/>
  <c r="Z53"/>
  <c r="AA53" s="1"/>
  <c r="Z40"/>
  <c r="AA40" s="1"/>
  <c r="Z503"/>
  <c r="AA503" s="1"/>
  <c r="Z335"/>
  <c r="AA335" s="1"/>
  <c r="Z144"/>
  <c r="AA144" s="1"/>
  <c r="Z146"/>
  <c r="AA146" s="1"/>
  <c r="Z136"/>
  <c r="AA136" s="1"/>
  <c r="Z119"/>
  <c r="AA119" s="1"/>
  <c r="Z256"/>
  <c r="AA256" s="1"/>
  <c r="Z81"/>
  <c r="AA81" s="1"/>
  <c r="Z246"/>
  <c r="AA246" s="1"/>
  <c r="Z406"/>
  <c r="AA406" s="1"/>
  <c r="Z416"/>
  <c r="AA416" s="1"/>
  <c r="Z387"/>
  <c r="AA387" s="1"/>
  <c r="Z338"/>
  <c r="AA338" s="1"/>
  <c r="Z350"/>
  <c r="AA350" s="1"/>
  <c r="Z445"/>
  <c r="AA445" s="1"/>
  <c r="Z462"/>
  <c r="AA462" s="1"/>
  <c r="Z244"/>
  <c r="AA244" s="1"/>
  <c r="Z470"/>
  <c r="AA470" s="1"/>
  <c r="Z495"/>
  <c r="AA495" s="1"/>
  <c r="Z26"/>
  <c r="AA26" s="1"/>
  <c r="Z33"/>
  <c r="AA33" s="1"/>
  <c r="Z509"/>
  <c r="AA509" s="1"/>
  <c r="Z374"/>
  <c r="AA374" s="1"/>
  <c r="Z337"/>
  <c r="AA337" s="1"/>
  <c r="Z334"/>
  <c r="AA334" s="1"/>
  <c r="X183"/>
  <c r="Z183"/>
  <c r="AA183" s="1"/>
  <c r="Z207"/>
  <c r="AA207" s="1"/>
  <c r="Z108"/>
  <c r="AA108" s="1"/>
  <c r="Z253"/>
  <c r="AA253" s="1"/>
  <c r="Z7"/>
  <c r="AA7" s="1"/>
  <c r="Z273"/>
  <c r="AA273" s="1"/>
  <c r="Z292"/>
  <c r="AA292" s="1"/>
  <c r="Z436"/>
  <c r="AA436" s="1"/>
  <c r="Z69"/>
  <c r="AA69" s="1"/>
  <c r="Z415"/>
  <c r="AA415" s="1"/>
  <c r="Z430"/>
  <c r="AA430" s="1"/>
  <c r="Z381"/>
  <c r="AA381" s="1"/>
  <c r="Z386"/>
  <c r="AA386" s="1"/>
  <c r="Z390"/>
  <c r="AA390" s="1"/>
  <c r="Z469"/>
  <c r="AA469" s="1"/>
  <c r="Z488"/>
  <c r="AA488" s="1"/>
  <c r="Z325"/>
  <c r="AA325" s="1"/>
  <c r="Z506"/>
  <c r="AA506" s="1"/>
  <c r="Z392"/>
  <c r="AA392" s="1"/>
  <c r="Z168"/>
  <c r="AA168" s="1"/>
  <c r="Z145"/>
  <c r="AA145" s="1"/>
  <c r="Z172"/>
  <c r="AA172" s="1"/>
  <c r="Z179"/>
  <c r="AA179" s="1"/>
  <c r="Z153"/>
  <c r="AA153" s="1"/>
  <c r="Z191"/>
  <c r="AA191" s="1"/>
  <c r="Z200"/>
  <c r="AA200" s="1"/>
  <c r="Z204"/>
  <c r="AA204" s="1"/>
  <c r="Z140"/>
  <c r="AA140" s="1"/>
  <c r="Z95"/>
  <c r="AA95" s="1"/>
  <c r="Z59"/>
  <c r="AA59" s="1"/>
  <c r="Z63"/>
  <c r="AA63" s="1"/>
  <c r="Z249"/>
  <c r="AA249" s="1"/>
  <c r="Z290"/>
  <c r="Z307"/>
  <c r="AA307" s="1"/>
  <c r="Z431"/>
  <c r="AA431" s="1"/>
  <c r="Z237"/>
  <c r="AA237" s="1"/>
  <c r="Z437"/>
  <c r="AA437" s="1"/>
  <c r="Z345"/>
  <c r="AA345" s="1"/>
  <c r="Z447"/>
  <c r="AA447" s="1"/>
  <c r="Z455"/>
  <c r="AA455" s="1"/>
  <c r="Z473"/>
  <c r="AA473" s="1"/>
  <c r="Z497"/>
  <c r="AA497" s="1"/>
  <c r="Z22"/>
  <c r="AA22" s="1"/>
  <c r="Z54"/>
  <c r="AA54" s="1"/>
  <c r="Z43"/>
  <c r="AA43" s="1"/>
  <c r="Z37"/>
  <c r="AA37" s="1"/>
  <c r="Z502"/>
  <c r="AA502" s="1"/>
  <c r="Z336"/>
  <c r="AA336" s="1"/>
  <c r="K478"/>
  <c r="K366"/>
  <c r="K195"/>
  <c r="K74"/>
  <c r="K224"/>
  <c r="K386"/>
  <c r="K430"/>
  <c r="K299"/>
  <c r="K58"/>
  <c r="K349"/>
  <c r="K381"/>
  <c r="K312"/>
  <c r="K23"/>
  <c r="K398"/>
  <c r="K390"/>
  <c r="K406"/>
  <c r="K300"/>
  <c r="K162"/>
  <c r="K451"/>
  <c r="K59"/>
  <c r="K307"/>
  <c r="O178"/>
  <c r="S178" s="1"/>
  <c r="T178" s="1"/>
  <c r="K378"/>
  <c r="K245"/>
  <c r="K277"/>
  <c r="K173"/>
  <c r="K399"/>
  <c r="K169"/>
  <c r="K413"/>
  <c r="K262"/>
  <c r="K61"/>
  <c r="K99"/>
  <c r="K146"/>
  <c r="K341"/>
  <c r="K338"/>
  <c r="K388"/>
  <c r="K426"/>
  <c r="K102"/>
  <c r="K166"/>
  <c r="K290"/>
  <c r="K65"/>
  <c r="K171"/>
  <c r="K145"/>
  <c r="K250"/>
  <c r="K158"/>
  <c r="K192"/>
  <c r="K131"/>
  <c r="K204"/>
  <c r="K155"/>
  <c r="K168"/>
  <c r="K164"/>
  <c r="K382"/>
  <c r="K417"/>
  <c r="K409"/>
  <c r="K297"/>
  <c r="K273"/>
  <c r="K7"/>
  <c r="K108"/>
  <c r="K95"/>
  <c r="K200"/>
  <c r="K187"/>
  <c r="K180"/>
  <c r="K181"/>
  <c r="K147"/>
  <c r="K359"/>
  <c r="K416"/>
  <c r="K81"/>
  <c r="K268"/>
  <c r="K160"/>
  <c r="K6"/>
  <c r="K124"/>
  <c r="K115"/>
  <c r="K175"/>
  <c r="K201"/>
  <c r="K197"/>
  <c r="K150"/>
  <c r="K325"/>
  <c r="K368"/>
  <c r="K153"/>
  <c r="K100"/>
  <c r="K134"/>
  <c r="K264"/>
  <c r="K143"/>
  <c r="K396"/>
  <c r="K47"/>
  <c r="K496"/>
  <c r="K37"/>
  <c r="K51"/>
  <c r="K191"/>
  <c r="K151"/>
  <c r="K179"/>
  <c r="K174"/>
  <c r="K209"/>
  <c r="K253"/>
  <c r="K249"/>
  <c r="K256"/>
  <c r="O27"/>
  <c r="S27" s="1"/>
  <c r="T27" s="1"/>
  <c r="K354"/>
  <c r="K225"/>
  <c r="K63"/>
  <c r="K394"/>
  <c r="K189"/>
  <c r="K148"/>
  <c r="K182"/>
  <c r="O52"/>
  <c r="S52" s="1"/>
  <c r="T52" s="1"/>
  <c r="S471"/>
  <c r="T471" s="1"/>
  <c r="S467"/>
  <c r="T467" s="1"/>
  <c r="S464"/>
  <c r="T464" s="1"/>
  <c r="S460"/>
  <c r="T460" s="1"/>
  <c r="S298"/>
  <c r="T298" s="1"/>
  <c r="O294"/>
  <c r="S294" s="1"/>
  <c r="T294" s="1"/>
  <c r="S265"/>
  <c r="T265" s="1"/>
  <c r="O261"/>
  <c r="S261" s="1"/>
  <c r="T261" s="1"/>
  <c r="S257"/>
  <c r="T257" s="1"/>
  <c r="O132"/>
  <c r="S132" s="1"/>
  <c r="T132" s="1"/>
  <c r="O210"/>
  <c r="S210" s="1"/>
  <c r="T210" s="1"/>
  <c r="O202"/>
  <c r="S202" s="1"/>
  <c r="T202" s="1"/>
  <c r="O198"/>
  <c r="S198" s="1"/>
  <c r="T198" s="1"/>
  <c r="O194"/>
  <c r="S194" s="1"/>
  <c r="T194" s="1"/>
  <c r="O190"/>
  <c r="S190" s="1"/>
  <c r="T190" s="1"/>
  <c r="S157"/>
  <c r="T157" s="1"/>
  <c r="O154"/>
  <c r="S154" s="1"/>
  <c r="T154" s="1"/>
  <c r="K172"/>
  <c r="K418"/>
  <c r="K431"/>
  <c r="K83"/>
  <c r="K267"/>
  <c r="K60"/>
  <c r="K114"/>
  <c r="K207"/>
  <c r="O36"/>
  <c r="S36" s="1"/>
  <c r="T36" s="1"/>
  <c r="O41"/>
  <c r="S41" s="1"/>
  <c r="T41" s="1"/>
  <c r="O57"/>
  <c r="S57" s="1"/>
  <c r="T57" s="1"/>
  <c r="O50"/>
  <c r="S50" s="1"/>
  <c r="T50" s="1"/>
  <c r="O476"/>
  <c r="S476" s="1"/>
  <c r="T476" s="1"/>
  <c r="O348"/>
  <c r="S348" s="1"/>
  <c r="T348" s="1"/>
  <c r="S220"/>
  <c r="T220" s="1"/>
  <c r="O266"/>
  <c r="S266" s="1"/>
  <c r="T266" s="1"/>
  <c r="O133"/>
  <c r="S133" s="1"/>
  <c r="T133" s="1"/>
  <c r="O129"/>
  <c r="S129" s="1"/>
  <c r="T129" s="1"/>
  <c r="O135"/>
  <c r="S135" s="1"/>
  <c r="T135" s="1"/>
  <c r="S184"/>
  <c r="T184" s="1"/>
  <c r="S372"/>
  <c r="T372" s="1"/>
  <c r="S279"/>
  <c r="T279" s="1"/>
  <c r="S271"/>
  <c r="T271" s="1"/>
  <c r="O66"/>
  <c r="S66" s="1"/>
  <c r="T66" s="1"/>
  <c r="O167"/>
  <c r="S167" s="1"/>
  <c r="T167" s="1"/>
  <c r="O165"/>
  <c r="S165" s="1"/>
  <c r="T165" s="1"/>
  <c r="O161"/>
  <c r="S161" s="1"/>
  <c r="T161" s="1"/>
  <c r="K5"/>
  <c r="S323"/>
  <c r="T323" s="1"/>
  <c r="O319"/>
  <c r="S319" s="1"/>
  <c r="T319" s="1"/>
  <c r="O315"/>
  <c r="S315" s="1"/>
  <c r="T315" s="1"/>
  <c r="S498"/>
  <c r="T498" s="1"/>
  <c r="S494"/>
  <c r="T494" s="1"/>
  <c r="O412"/>
  <c r="S412" s="1"/>
  <c r="T412" s="1"/>
  <c r="O410"/>
  <c r="S410" s="1"/>
  <c r="T410" s="1"/>
  <c r="O404"/>
  <c r="S404" s="1"/>
  <c r="T404" s="1"/>
  <c r="S425"/>
  <c r="T425" s="1"/>
  <c r="S75"/>
  <c r="T75" s="1"/>
  <c r="O234"/>
  <c r="S234" s="1"/>
  <c r="T234" s="1"/>
  <c r="O252"/>
  <c r="S252" s="1"/>
  <c r="T252" s="1"/>
  <c r="O205"/>
  <c r="S205" s="1"/>
  <c r="T205" s="1"/>
  <c r="F12"/>
  <c r="D12"/>
  <c r="F26"/>
  <c r="F28"/>
  <c r="D26"/>
  <c r="D28"/>
  <c r="F22"/>
  <c r="F23"/>
  <c r="D22"/>
  <c r="D23"/>
  <c r="F52"/>
  <c r="D52"/>
  <c r="F50"/>
  <c r="F47"/>
  <c r="D50"/>
  <c r="D47"/>
  <c r="F51"/>
  <c r="F58"/>
  <c r="F33"/>
  <c r="D51"/>
  <c r="D58"/>
  <c r="D33"/>
  <c r="F32"/>
  <c r="F43"/>
  <c r="F41"/>
  <c r="D32"/>
  <c r="D43"/>
  <c r="D41"/>
  <c r="F27"/>
  <c r="D27"/>
  <c r="F9"/>
  <c r="D9"/>
  <c r="F319"/>
  <c r="D319"/>
  <c r="F322"/>
  <c r="F323"/>
  <c r="D322"/>
  <c r="D323"/>
  <c r="F330"/>
  <c r="F325"/>
  <c r="D325"/>
  <c r="D330"/>
  <c r="F493"/>
  <c r="F495"/>
  <c r="F496"/>
  <c r="F497"/>
  <c r="F498"/>
  <c r="F491"/>
  <c r="F499"/>
  <c r="F314"/>
  <c r="F315"/>
  <c r="D493"/>
  <c r="D494"/>
  <c r="D495"/>
  <c r="D496"/>
  <c r="D497"/>
  <c r="D498"/>
  <c r="D491"/>
  <c r="D499"/>
  <c r="D314"/>
  <c r="D315"/>
  <c r="F503"/>
  <c r="D503"/>
  <c r="F488"/>
  <c r="F489"/>
  <c r="F490"/>
  <c r="D488"/>
  <c r="D489"/>
  <c r="D490"/>
  <c r="F485"/>
  <c r="F486"/>
  <c r="D485"/>
  <c r="D486"/>
  <c r="F482"/>
  <c r="D482"/>
  <c r="F335"/>
  <c r="F336"/>
  <c r="F337"/>
  <c r="F332"/>
  <c r="F333"/>
  <c r="F334"/>
  <c r="F347"/>
  <c r="F348"/>
  <c r="F349"/>
  <c r="D335"/>
  <c r="D336"/>
  <c r="D337"/>
  <c r="D332"/>
  <c r="D333"/>
  <c r="D334"/>
  <c r="D347"/>
  <c r="D348"/>
  <c r="D349"/>
  <c r="F341"/>
  <c r="F345"/>
  <c r="D345"/>
  <c r="F444"/>
  <c r="F445"/>
  <c r="F446"/>
  <c r="F447"/>
  <c r="D444"/>
  <c r="D445"/>
  <c r="D446"/>
  <c r="D447"/>
  <c r="F449"/>
  <c r="D449"/>
  <c r="F451"/>
  <c r="D451"/>
  <c r="F453"/>
  <c r="D453"/>
  <c r="F455"/>
  <c r="F456"/>
  <c r="D455"/>
  <c r="D456"/>
  <c r="F458"/>
  <c r="F459"/>
  <c r="F460"/>
  <c r="F461"/>
  <c r="F462"/>
  <c r="F463"/>
  <c r="F464"/>
  <c r="F465"/>
  <c r="F244"/>
  <c r="D458"/>
  <c r="D459"/>
  <c r="D460"/>
  <c r="D461"/>
  <c r="D462"/>
  <c r="D463"/>
  <c r="D464"/>
  <c r="D465"/>
  <c r="D244"/>
  <c r="F467"/>
  <c r="F468"/>
  <c r="F469"/>
  <c r="F470"/>
  <c r="F471"/>
  <c r="D467"/>
  <c r="D468"/>
  <c r="D469"/>
  <c r="D470"/>
  <c r="D471"/>
  <c r="F473"/>
  <c r="D473"/>
  <c r="F475"/>
  <c r="F476"/>
  <c r="F477"/>
  <c r="F478"/>
  <c r="D475"/>
  <c r="D476"/>
  <c r="D477"/>
  <c r="D478"/>
  <c r="F480"/>
  <c r="D480"/>
  <c r="D472"/>
  <c r="F472"/>
  <c r="N472"/>
  <c r="O472" s="1"/>
  <c r="S472" s="1"/>
  <c r="T472" s="1"/>
  <c r="F366"/>
  <c r="F398"/>
  <c r="D366"/>
  <c r="D398"/>
  <c r="F338"/>
  <c r="F385"/>
  <c r="F386"/>
  <c r="F387"/>
  <c r="F388"/>
  <c r="F389"/>
  <c r="F390"/>
  <c r="D338"/>
  <c r="D385"/>
  <c r="D386"/>
  <c r="D387"/>
  <c r="D388"/>
  <c r="D389"/>
  <c r="D390"/>
  <c r="F382"/>
  <c r="D382"/>
  <c r="F128"/>
  <c r="D128"/>
  <c r="F381"/>
  <c r="D381"/>
  <c r="F378"/>
  <c r="F359"/>
  <c r="F375"/>
  <c r="D359"/>
  <c r="D375"/>
  <c r="D378"/>
  <c r="F374"/>
  <c r="D374"/>
  <c r="F371"/>
  <c r="F372"/>
  <c r="F373"/>
  <c r="D371"/>
  <c r="D372"/>
  <c r="D373"/>
  <c r="F370"/>
  <c r="D370"/>
  <c r="F415"/>
  <c r="F416"/>
  <c r="F417"/>
  <c r="F437"/>
  <c r="D415"/>
  <c r="D416"/>
  <c r="D417"/>
  <c r="F428"/>
  <c r="F429"/>
  <c r="F412"/>
  <c r="F413"/>
  <c r="F410"/>
  <c r="F409"/>
  <c r="Z330" l="1"/>
  <c r="AA330" s="1"/>
  <c r="X330"/>
  <c r="U330"/>
  <c r="W330" s="1"/>
  <c r="X499"/>
  <c r="U499"/>
  <c r="V499" s="1"/>
  <c r="Z499"/>
  <c r="AA499" s="1"/>
  <c r="U233"/>
  <c r="W233" s="1"/>
  <c r="Z233"/>
  <c r="AA233" s="1"/>
  <c r="X233"/>
  <c r="U130"/>
  <c r="V130" s="1"/>
  <c r="Z130"/>
  <c r="AA130" s="1"/>
  <c r="X130"/>
  <c r="Z385"/>
  <c r="AA385" s="1"/>
  <c r="X385"/>
  <c r="U385"/>
  <c r="V385" s="1"/>
  <c r="X465"/>
  <c r="U465"/>
  <c r="V465" s="1"/>
  <c r="Z465"/>
  <c r="AA465" s="1"/>
  <c r="X475"/>
  <c r="U475"/>
  <c r="V475" s="1"/>
  <c r="Z475"/>
  <c r="AA475" s="1"/>
  <c r="X423"/>
  <c r="Z423"/>
  <c r="AA423" s="1"/>
  <c r="U423"/>
  <c r="V423" s="1"/>
  <c r="X103"/>
  <c r="Z103"/>
  <c r="AA103" s="1"/>
  <c r="U103"/>
  <c r="W103" s="1"/>
  <c r="Z28"/>
  <c r="AA28" s="1"/>
  <c r="X28"/>
  <c r="U28"/>
  <c r="V28" s="1"/>
  <c r="X297"/>
  <c r="Z297"/>
  <c r="AA297" s="1"/>
  <c r="U297"/>
  <c r="W297" s="1"/>
  <c r="X208"/>
  <c r="U208"/>
  <c r="V208" s="1"/>
  <c r="Z208"/>
  <c r="AA208" s="1"/>
  <c r="U398"/>
  <c r="W398" s="1"/>
  <c r="Z398"/>
  <c r="AA398" s="1"/>
  <c r="X398"/>
  <c r="Z12"/>
  <c r="AA12" s="1"/>
  <c r="X12"/>
  <c r="U12"/>
  <c r="V12" s="1"/>
  <c r="X313"/>
  <c r="U313"/>
  <c r="V313" s="1"/>
  <c r="Z313"/>
  <c r="AA313" s="1"/>
  <c r="Z375"/>
  <c r="AA375" s="1"/>
  <c r="X375"/>
  <c r="U375"/>
  <c r="W375" s="1"/>
  <c r="U432"/>
  <c r="V432" s="1"/>
  <c r="X432"/>
  <c r="Z432"/>
  <c r="AA432" s="1"/>
  <c r="U472"/>
  <c r="X472"/>
  <c r="U234"/>
  <c r="X234"/>
  <c r="U410"/>
  <c r="X410"/>
  <c r="U315"/>
  <c r="X315"/>
  <c r="U161"/>
  <c r="X161"/>
  <c r="U271"/>
  <c r="X271"/>
  <c r="U185"/>
  <c r="X185"/>
  <c r="U266"/>
  <c r="X266"/>
  <c r="U50"/>
  <c r="X50"/>
  <c r="U194"/>
  <c r="X194"/>
  <c r="U132"/>
  <c r="X132"/>
  <c r="U294"/>
  <c r="X294"/>
  <c r="U467"/>
  <c r="X467"/>
  <c r="W336"/>
  <c r="V336"/>
  <c r="W502"/>
  <c r="V502"/>
  <c r="V54"/>
  <c r="W54"/>
  <c r="W314"/>
  <c r="V314"/>
  <c r="W493"/>
  <c r="V493"/>
  <c r="V478"/>
  <c r="W478"/>
  <c r="V468"/>
  <c r="W468"/>
  <c r="V447"/>
  <c r="W447"/>
  <c r="W366"/>
  <c r="V366"/>
  <c r="W373"/>
  <c r="V373"/>
  <c r="W413"/>
  <c r="V413"/>
  <c r="W237"/>
  <c r="V237"/>
  <c r="W431"/>
  <c r="V431"/>
  <c r="W418"/>
  <c r="V418"/>
  <c r="W307"/>
  <c r="V307"/>
  <c r="W262"/>
  <c r="V262"/>
  <c r="W277"/>
  <c r="V277"/>
  <c r="W249"/>
  <c r="V249"/>
  <c r="W59"/>
  <c r="V59"/>
  <c r="W95"/>
  <c r="V95"/>
  <c r="V131"/>
  <c r="W131"/>
  <c r="V204"/>
  <c r="W204"/>
  <c r="V195"/>
  <c r="W195"/>
  <c r="W153"/>
  <c r="V153"/>
  <c r="W179"/>
  <c r="V179"/>
  <c r="V162"/>
  <c r="W162"/>
  <c r="V168"/>
  <c r="W168"/>
  <c r="V196"/>
  <c r="W196"/>
  <c r="W392"/>
  <c r="V392"/>
  <c r="V58"/>
  <c r="W58"/>
  <c r="V488"/>
  <c r="W488"/>
  <c r="W456"/>
  <c r="V456"/>
  <c r="W444"/>
  <c r="V444"/>
  <c r="W386"/>
  <c r="V386"/>
  <c r="W359"/>
  <c r="V359"/>
  <c r="W415"/>
  <c r="V415"/>
  <c r="W83"/>
  <c r="V83"/>
  <c r="W436"/>
  <c r="V436"/>
  <c r="W312"/>
  <c r="V312"/>
  <c r="V292"/>
  <c r="W292"/>
  <c r="V7"/>
  <c r="W7"/>
  <c r="V60"/>
  <c r="W60"/>
  <c r="W114"/>
  <c r="V114"/>
  <c r="V143"/>
  <c r="W143"/>
  <c r="V201"/>
  <c r="W201"/>
  <c r="V192"/>
  <c r="W192"/>
  <c r="V151"/>
  <c r="W151"/>
  <c r="V173"/>
  <c r="W173"/>
  <c r="V156"/>
  <c r="W156"/>
  <c r="W337"/>
  <c r="V337"/>
  <c r="V495"/>
  <c r="W495"/>
  <c r="W482"/>
  <c r="V482"/>
  <c r="W244"/>
  <c r="V244"/>
  <c r="W458"/>
  <c r="V458"/>
  <c r="W445"/>
  <c r="V445"/>
  <c r="W333"/>
  <c r="V333"/>
  <c r="W387"/>
  <c r="V387"/>
  <c r="W416"/>
  <c r="V416"/>
  <c r="W406"/>
  <c r="V406"/>
  <c r="W81"/>
  <c r="V81"/>
  <c r="W421"/>
  <c r="V421"/>
  <c r="W260"/>
  <c r="V260"/>
  <c r="W6"/>
  <c r="V6"/>
  <c r="W119"/>
  <c r="V119"/>
  <c r="V189"/>
  <c r="W189"/>
  <c r="V181"/>
  <c r="W181"/>
  <c r="V160"/>
  <c r="W160"/>
  <c r="V146"/>
  <c r="W146"/>
  <c r="W368"/>
  <c r="V368"/>
  <c r="W335"/>
  <c r="V335"/>
  <c r="V503"/>
  <c r="W503"/>
  <c r="V32"/>
  <c r="W32"/>
  <c r="W322"/>
  <c r="V322"/>
  <c r="V496"/>
  <c r="W496"/>
  <c r="W485"/>
  <c r="V485"/>
  <c r="V463"/>
  <c r="W463"/>
  <c r="V453"/>
  <c r="W453"/>
  <c r="W341"/>
  <c r="V341"/>
  <c r="W367"/>
  <c r="V367"/>
  <c r="W382"/>
  <c r="V382"/>
  <c r="W417"/>
  <c r="V417"/>
  <c r="W426"/>
  <c r="V426"/>
  <c r="W305"/>
  <c r="V305"/>
  <c r="W282"/>
  <c r="V282"/>
  <c r="W268"/>
  <c r="V268"/>
  <c r="W250"/>
  <c r="V250"/>
  <c r="W115"/>
  <c r="V115"/>
  <c r="W134"/>
  <c r="V134"/>
  <c r="W138"/>
  <c r="V138"/>
  <c r="V199"/>
  <c r="W199"/>
  <c r="V182"/>
  <c r="W182"/>
  <c r="V171"/>
  <c r="W171"/>
  <c r="W166"/>
  <c r="V166"/>
  <c r="W396"/>
  <c r="V396"/>
  <c r="U252"/>
  <c r="X252"/>
  <c r="U404"/>
  <c r="X404"/>
  <c r="U498"/>
  <c r="X498"/>
  <c r="U66"/>
  <c r="X66"/>
  <c r="U184"/>
  <c r="X184"/>
  <c r="U133"/>
  <c r="X133"/>
  <c r="U476"/>
  <c r="X476"/>
  <c r="U36"/>
  <c r="X36"/>
  <c r="U190"/>
  <c r="X190"/>
  <c r="U210"/>
  <c r="X210"/>
  <c r="X265"/>
  <c r="U265"/>
  <c r="U464"/>
  <c r="X464"/>
  <c r="U27"/>
  <c r="X27"/>
  <c r="W43"/>
  <c r="V43"/>
  <c r="V509"/>
  <c r="W509"/>
  <c r="V47"/>
  <c r="W47"/>
  <c r="W158"/>
  <c r="V158"/>
  <c r="U205"/>
  <c r="X205"/>
  <c r="U425"/>
  <c r="X425"/>
  <c r="U494"/>
  <c r="X494"/>
  <c r="U323"/>
  <c r="X323"/>
  <c r="U167"/>
  <c r="X167"/>
  <c r="U372"/>
  <c r="X372"/>
  <c r="U129"/>
  <c r="X129"/>
  <c r="U348"/>
  <c r="X348"/>
  <c r="U41"/>
  <c r="X41"/>
  <c r="U157"/>
  <c r="X157"/>
  <c r="U202"/>
  <c r="X202"/>
  <c r="U261"/>
  <c r="X261"/>
  <c r="U460"/>
  <c r="X460"/>
  <c r="X52"/>
  <c r="U52"/>
  <c r="W332"/>
  <c r="V332"/>
  <c r="W113"/>
  <c r="V113"/>
  <c r="V37"/>
  <c r="W37"/>
  <c r="V22"/>
  <c r="W22"/>
  <c r="W497"/>
  <c r="V497"/>
  <c r="W486"/>
  <c r="V486"/>
  <c r="W473"/>
  <c r="V473"/>
  <c r="V455"/>
  <c r="W455"/>
  <c r="W345"/>
  <c r="V345"/>
  <c r="W389"/>
  <c r="V389"/>
  <c r="W378"/>
  <c r="V378"/>
  <c r="W437"/>
  <c r="V437"/>
  <c r="W427"/>
  <c r="V427"/>
  <c r="W74"/>
  <c r="V74"/>
  <c r="W434"/>
  <c r="V434"/>
  <c r="W224"/>
  <c r="V224"/>
  <c r="V267"/>
  <c r="W267"/>
  <c r="W65"/>
  <c r="V65"/>
  <c r="V63"/>
  <c r="W63"/>
  <c r="V102"/>
  <c r="W102"/>
  <c r="W99"/>
  <c r="V99"/>
  <c r="W140"/>
  <c r="V140"/>
  <c r="V200"/>
  <c r="W200"/>
  <c r="V191"/>
  <c r="W191"/>
  <c r="W150"/>
  <c r="V150"/>
  <c r="V172"/>
  <c r="W172"/>
  <c r="V145"/>
  <c r="W145"/>
  <c r="W354"/>
  <c r="V354"/>
  <c r="W301"/>
  <c r="V301"/>
  <c r="W506"/>
  <c r="V506"/>
  <c r="V325"/>
  <c r="W325"/>
  <c r="V480"/>
  <c r="W480"/>
  <c r="W469"/>
  <c r="V469"/>
  <c r="V461"/>
  <c r="W461"/>
  <c r="V449"/>
  <c r="W449"/>
  <c r="W349"/>
  <c r="V349"/>
  <c r="W390"/>
  <c r="V390"/>
  <c r="W381"/>
  <c r="V381"/>
  <c r="W430"/>
  <c r="V430"/>
  <c r="W428"/>
  <c r="V428"/>
  <c r="W69"/>
  <c r="V69"/>
  <c r="W433"/>
  <c r="V433"/>
  <c r="W225"/>
  <c r="V225"/>
  <c r="W299"/>
  <c r="V299"/>
  <c r="W253"/>
  <c r="V253"/>
  <c r="W108"/>
  <c r="V108"/>
  <c r="W394"/>
  <c r="V394"/>
  <c r="V207"/>
  <c r="W207"/>
  <c r="V197"/>
  <c r="W197"/>
  <c r="V187"/>
  <c r="W187"/>
  <c r="V180"/>
  <c r="W180"/>
  <c r="W334"/>
  <c r="V334"/>
  <c r="W374"/>
  <c r="V374"/>
  <c r="W491"/>
  <c r="V491"/>
  <c r="W489"/>
  <c r="V489"/>
  <c r="W470"/>
  <c r="V470"/>
  <c r="W462"/>
  <c r="V462"/>
  <c r="W451"/>
  <c r="V451"/>
  <c r="W350"/>
  <c r="V350"/>
  <c r="W338"/>
  <c r="V338"/>
  <c r="W128"/>
  <c r="V128"/>
  <c r="W371"/>
  <c r="V371"/>
  <c r="W429"/>
  <c r="V429"/>
  <c r="W246"/>
  <c r="V246"/>
  <c r="W420"/>
  <c r="V420"/>
  <c r="V233"/>
  <c r="V300"/>
  <c r="W300"/>
  <c r="V256"/>
  <c r="W256"/>
  <c r="W61"/>
  <c r="V61"/>
  <c r="V399"/>
  <c r="W399"/>
  <c r="V136"/>
  <c r="W136"/>
  <c r="V193"/>
  <c r="W193"/>
  <c r="V174"/>
  <c r="W174"/>
  <c r="V164"/>
  <c r="W164"/>
  <c r="V147"/>
  <c r="W147"/>
  <c r="V155"/>
  <c r="W155"/>
  <c r="V144"/>
  <c r="W144"/>
  <c r="V9"/>
  <c r="W9"/>
  <c r="V490"/>
  <c r="W490"/>
  <c r="W477"/>
  <c r="V477"/>
  <c r="V459"/>
  <c r="W459"/>
  <c r="W446"/>
  <c r="V446"/>
  <c r="W347"/>
  <c r="V347"/>
  <c r="W388"/>
  <c r="V388"/>
  <c r="W409"/>
  <c r="V409"/>
  <c r="V245"/>
  <c r="W245"/>
  <c r="W435"/>
  <c r="V435"/>
  <c r="V264"/>
  <c r="W264"/>
  <c r="V5"/>
  <c r="W5"/>
  <c r="W124"/>
  <c r="V124"/>
  <c r="W100"/>
  <c r="V100"/>
  <c r="V209"/>
  <c r="W209"/>
  <c r="V148"/>
  <c r="W148"/>
  <c r="W175"/>
  <c r="V175"/>
  <c r="W163"/>
  <c r="V163"/>
  <c r="W169"/>
  <c r="V169"/>
  <c r="U75"/>
  <c r="X75"/>
  <c r="U412"/>
  <c r="X412"/>
  <c r="U319"/>
  <c r="X319"/>
  <c r="U165"/>
  <c r="X165"/>
  <c r="U279"/>
  <c r="X279"/>
  <c r="U135"/>
  <c r="X135"/>
  <c r="U220"/>
  <c r="X220"/>
  <c r="U57"/>
  <c r="X57"/>
  <c r="U154"/>
  <c r="X154"/>
  <c r="U198"/>
  <c r="X198"/>
  <c r="X257"/>
  <c r="U257"/>
  <c r="X298"/>
  <c r="U298"/>
  <c r="U471"/>
  <c r="X471"/>
  <c r="U178"/>
  <c r="X178"/>
  <c r="V51"/>
  <c r="W51"/>
  <c r="W290"/>
  <c r="V290"/>
  <c r="V23"/>
  <c r="W23"/>
  <c r="W273"/>
  <c r="V273"/>
  <c r="W33"/>
  <c r="V33"/>
  <c r="W26"/>
  <c r="V26"/>
  <c r="V40"/>
  <c r="W40"/>
  <c r="V53"/>
  <c r="W53"/>
  <c r="U203"/>
  <c r="V203" s="1"/>
  <c r="X203"/>
  <c r="AA290"/>
  <c r="Z252"/>
  <c r="AA252" s="1"/>
  <c r="Z404"/>
  <c r="AA404" s="1"/>
  <c r="Z133"/>
  <c r="AA133" s="1"/>
  <c r="Z476"/>
  <c r="AA476" s="1"/>
  <c r="Z190"/>
  <c r="AA190" s="1"/>
  <c r="Z27"/>
  <c r="AA27" s="1"/>
  <c r="AA282"/>
  <c r="Z425"/>
  <c r="AA425" s="1"/>
  <c r="Z323"/>
  <c r="AA323" s="1"/>
  <c r="Z41"/>
  <c r="AA41" s="1"/>
  <c r="Z202"/>
  <c r="AA202" s="1"/>
  <c r="Z460"/>
  <c r="AA460" s="1"/>
  <c r="Z52"/>
  <c r="AA52" s="1"/>
  <c r="Z75"/>
  <c r="AA75" s="1"/>
  <c r="Z412"/>
  <c r="AA412" s="1"/>
  <c r="Z279"/>
  <c r="Z220"/>
  <c r="AA220" s="1"/>
  <c r="Z57"/>
  <c r="AA57" s="1"/>
  <c r="Z298"/>
  <c r="AA298" s="1"/>
  <c r="Z471"/>
  <c r="AA471" s="1"/>
  <c r="Z315"/>
  <c r="AA315" s="1"/>
  <c r="Z161"/>
  <c r="AA161" s="1"/>
  <c r="Z271"/>
  <c r="AA271" s="1"/>
  <c r="Z185"/>
  <c r="AA185" s="1"/>
  <c r="Z266"/>
  <c r="AA266" s="1"/>
  <c r="Z194"/>
  <c r="AA194" s="1"/>
  <c r="F406"/>
  <c r="F404"/>
  <c r="F425"/>
  <c r="F426"/>
  <c r="F427"/>
  <c r="F423"/>
  <c r="D437"/>
  <c r="D428"/>
  <c r="D429"/>
  <c r="D412"/>
  <c r="D413"/>
  <c r="D409"/>
  <c r="D410"/>
  <c r="D406"/>
  <c r="D404"/>
  <c r="D425"/>
  <c r="D426"/>
  <c r="D427"/>
  <c r="D423"/>
  <c r="F431"/>
  <c r="F432"/>
  <c r="F420"/>
  <c r="F433"/>
  <c r="F434"/>
  <c r="F435"/>
  <c r="F421"/>
  <c r="F436"/>
  <c r="F418"/>
  <c r="D431"/>
  <c r="D432"/>
  <c r="D420"/>
  <c r="D433"/>
  <c r="D434"/>
  <c r="D435"/>
  <c r="D421"/>
  <c r="D436"/>
  <c r="D418"/>
  <c r="F83"/>
  <c r="D83"/>
  <c r="F81"/>
  <c r="D81"/>
  <c r="F74"/>
  <c r="F75"/>
  <c r="D74"/>
  <c r="D75"/>
  <c r="F237"/>
  <c r="D237"/>
  <c r="F233"/>
  <c r="F234"/>
  <c r="D233"/>
  <c r="D234"/>
  <c r="F224"/>
  <c r="F225"/>
  <c r="D224"/>
  <c r="D225"/>
  <c r="F220"/>
  <c r="D220"/>
  <c r="F313"/>
  <c r="D313"/>
  <c r="F305"/>
  <c r="D305"/>
  <c r="F301"/>
  <c r="D300"/>
  <c r="D297"/>
  <c r="D298"/>
  <c r="D294"/>
  <c r="F260"/>
  <c r="F261"/>
  <c r="D260"/>
  <c r="D261"/>
  <c r="F256"/>
  <c r="F257"/>
  <c r="D256"/>
  <c r="D257"/>
  <c r="F252"/>
  <c r="F253"/>
  <c r="D252"/>
  <c r="D253"/>
  <c r="F249"/>
  <c r="F250"/>
  <c r="D249"/>
  <c r="D250"/>
  <c r="F66"/>
  <c r="F63"/>
  <c r="D66"/>
  <c r="D63"/>
  <c r="F59"/>
  <c r="F60"/>
  <c r="F61"/>
  <c r="D59"/>
  <c r="D60"/>
  <c r="D61"/>
  <c r="F108"/>
  <c r="D108"/>
  <c r="F103"/>
  <c r="D103"/>
  <c r="F102"/>
  <c r="D102"/>
  <c r="F115"/>
  <c r="D115"/>
  <c r="F95"/>
  <c r="F114"/>
  <c r="F399"/>
  <c r="D95"/>
  <c r="D114"/>
  <c r="D399"/>
  <c r="F100"/>
  <c r="D100"/>
  <c r="F119"/>
  <c r="D119"/>
  <c r="F99"/>
  <c r="D99"/>
  <c r="F129"/>
  <c r="F130"/>
  <c r="F131"/>
  <c r="F132"/>
  <c r="F133"/>
  <c r="F134"/>
  <c r="D129"/>
  <c r="D130"/>
  <c r="D131"/>
  <c r="D132"/>
  <c r="D133"/>
  <c r="D134"/>
  <c r="F143"/>
  <c r="D143"/>
  <c r="F140"/>
  <c r="D140"/>
  <c r="F138"/>
  <c r="D138"/>
  <c r="F136"/>
  <c r="D136"/>
  <c r="F207"/>
  <c r="F208"/>
  <c r="F209"/>
  <c r="F210"/>
  <c r="D207"/>
  <c r="D208"/>
  <c r="D209"/>
  <c r="D210"/>
  <c r="F189"/>
  <c r="F190"/>
  <c r="F191"/>
  <c r="F192"/>
  <c r="F193"/>
  <c r="F194"/>
  <c r="F195"/>
  <c r="F196"/>
  <c r="F197"/>
  <c r="F198"/>
  <c r="F199"/>
  <c r="F200"/>
  <c r="F201"/>
  <c r="F202"/>
  <c r="F203"/>
  <c r="F204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F205"/>
  <c r="D206"/>
  <c r="F206"/>
  <c r="N206"/>
  <c r="M206" s="1"/>
  <c r="D135"/>
  <c r="F135"/>
  <c r="D137"/>
  <c r="F137"/>
  <c r="N137"/>
  <c r="M137" s="1"/>
  <c r="D139"/>
  <c r="F139"/>
  <c r="N139"/>
  <c r="M139" s="1"/>
  <c r="D141"/>
  <c r="F141"/>
  <c r="N141"/>
  <c r="M141" s="1"/>
  <c r="D142"/>
  <c r="F142"/>
  <c r="N142"/>
  <c r="M142" s="1"/>
  <c r="D44"/>
  <c r="F44"/>
  <c r="N44"/>
  <c r="M44" s="1"/>
  <c r="D45"/>
  <c r="F45"/>
  <c r="N45"/>
  <c r="M45" s="1"/>
  <c r="D46"/>
  <c r="F46"/>
  <c r="N46"/>
  <c r="M46" s="1"/>
  <c r="F187"/>
  <c r="D187"/>
  <c r="F148"/>
  <c r="F153"/>
  <c r="D148"/>
  <c r="D153"/>
  <c r="V297" l="1"/>
  <c r="W432"/>
  <c r="V330"/>
  <c r="V103"/>
  <c r="W385"/>
  <c r="W423"/>
  <c r="W475"/>
  <c r="W130"/>
  <c r="W208"/>
  <c r="W499"/>
  <c r="W28"/>
  <c r="W465"/>
  <c r="V398"/>
  <c r="W12"/>
  <c r="W313"/>
  <c r="V375"/>
  <c r="V178"/>
  <c r="W178"/>
  <c r="W198"/>
  <c r="V198"/>
  <c r="V57"/>
  <c r="W57"/>
  <c r="V135"/>
  <c r="W135"/>
  <c r="V165"/>
  <c r="W165"/>
  <c r="W412"/>
  <c r="V412"/>
  <c r="W261"/>
  <c r="V261"/>
  <c r="V157"/>
  <c r="W157"/>
  <c r="W348"/>
  <c r="V348"/>
  <c r="W372"/>
  <c r="V372"/>
  <c r="W323"/>
  <c r="V323"/>
  <c r="W425"/>
  <c r="V425"/>
  <c r="V27"/>
  <c r="W27"/>
  <c r="W190"/>
  <c r="V190"/>
  <c r="V476"/>
  <c r="W476"/>
  <c r="V184"/>
  <c r="W184"/>
  <c r="V498"/>
  <c r="W498"/>
  <c r="V252"/>
  <c r="W252"/>
  <c r="V467"/>
  <c r="W467"/>
  <c r="W132"/>
  <c r="V132"/>
  <c r="V50"/>
  <c r="W50"/>
  <c r="V185"/>
  <c r="W185"/>
  <c r="W161"/>
  <c r="V161"/>
  <c r="W410"/>
  <c r="V410"/>
  <c r="V472"/>
  <c r="W472"/>
  <c r="W203"/>
  <c r="W298"/>
  <c r="V298"/>
  <c r="V52"/>
  <c r="W52"/>
  <c r="W265"/>
  <c r="V265"/>
  <c r="V471"/>
  <c r="W471"/>
  <c r="V154"/>
  <c r="W154"/>
  <c r="W220"/>
  <c r="V220"/>
  <c r="V279"/>
  <c r="W279"/>
  <c r="W319"/>
  <c r="V319"/>
  <c r="W75"/>
  <c r="V75"/>
  <c r="W460"/>
  <c r="V460"/>
  <c r="W202"/>
  <c r="V202"/>
  <c r="V41"/>
  <c r="W41"/>
  <c r="W129"/>
  <c r="V129"/>
  <c r="V167"/>
  <c r="W167"/>
  <c r="W494"/>
  <c r="V494"/>
  <c r="V205"/>
  <c r="W205"/>
  <c r="V464"/>
  <c r="W464"/>
  <c r="W210"/>
  <c r="V210"/>
  <c r="V36"/>
  <c r="W36"/>
  <c r="V133"/>
  <c r="W133"/>
  <c r="W66"/>
  <c r="V66"/>
  <c r="W404"/>
  <c r="V404"/>
  <c r="W294"/>
  <c r="V294"/>
  <c r="W194"/>
  <c r="V194"/>
  <c r="W266"/>
  <c r="V266"/>
  <c r="V271"/>
  <c r="W271"/>
  <c r="V315"/>
  <c r="W315"/>
  <c r="W234"/>
  <c r="V234"/>
  <c r="W257"/>
  <c r="V257"/>
  <c r="AA279"/>
  <c r="O142"/>
  <c r="S142" s="1"/>
  <c r="T142" s="1"/>
  <c r="K142"/>
  <c r="K141"/>
  <c r="O141"/>
  <c r="S141" s="1"/>
  <c r="T141" s="1"/>
  <c r="K46"/>
  <c r="O46"/>
  <c r="S46" s="1"/>
  <c r="T46" s="1"/>
  <c r="O45"/>
  <c r="S45" s="1"/>
  <c r="T45" s="1"/>
  <c r="K45"/>
  <c r="K139"/>
  <c r="O139"/>
  <c r="S139" s="1"/>
  <c r="T139" s="1"/>
  <c r="O206"/>
  <c r="S206" s="1"/>
  <c r="T206" s="1"/>
  <c r="K206"/>
  <c r="O44"/>
  <c r="S44" s="1"/>
  <c r="T44" s="1"/>
  <c r="K44"/>
  <c r="O137"/>
  <c r="S137" s="1"/>
  <c r="T137" s="1"/>
  <c r="K137"/>
  <c r="F178"/>
  <c r="F179"/>
  <c r="F180"/>
  <c r="F181"/>
  <c r="F182"/>
  <c r="F150"/>
  <c r="D178"/>
  <c r="D179"/>
  <c r="D180"/>
  <c r="D181"/>
  <c r="D182"/>
  <c r="D150"/>
  <c r="D151"/>
  <c r="F151"/>
  <c r="D211"/>
  <c r="F211"/>
  <c r="N211"/>
  <c r="M211" s="1"/>
  <c r="D438"/>
  <c r="F438"/>
  <c r="N438"/>
  <c r="M438" s="1"/>
  <c r="D212"/>
  <c r="F212"/>
  <c r="N212"/>
  <c r="M212" s="1"/>
  <c r="D439"/>
  <c r="F439"/>
  <c r="N439"/>
  <c r="M439" s="1"/>
  <c r="D440"/>
  <c r="F440"/>
  <c r="N440"/>
  <c r="M440" s="1"/>
  <c r="D213"/>
  <c r="F213"/>
  <c r="N213"/>
  <c r="M213" s="1"/>
  <c r="D441"/>
  <c r="F441"/>
  <c r="N441"/>
  <c r="M441" s="1"/>
  <c r="D214"/>
  <c r="F214"/>
  <c r="N214"/>
  <c r="M214" s="1"/>
  <c r="D215"/>
  <c r="F215"/>
  <c r="N215"/>
  <c r="M215" s="1"/>
  <c r="D177"/>
  <c r="F177"/>
  <c r="N177"/>
  <c r="M177" s="1"/>
  <c r="F172"/>
  <c r="F173"/>
  <c r="F174"/>
  <c r="F175"/>
  <c r="D172"/>
  <c r="D173"/>
  <c r="D174"/>
  <c r="D175"/>
  <c r="F171"/>
  <c r="D171"/>
  <c r="F161"/>
  <c r="F162"/>
  <c r="F163"/>
  <c r="F164"/>
  <c r="F165"/>
  <c r="F145"/>
  <c r="F166"/>
  <c r="F146"/>
  <c r="F167"/>
  <c r="F168"/>
  <c r="F169"/>
  <c r="F147"/>
  <c r="D161"/>
  <c r="D162"/>
  <c r="D163"/>
  <c r="D164"/>
  <c r="D165"/>
  <c r="D145"/>
  <c r="D166"/>
  <c r="D146"/>
  <c r="D167"/>
  <c r="D168"/>
  <c r="D169"/>
  <c r="D147"/>
  <c r="D159"/>
  <c r="D144"/>
  <c r="D160"/>
  <c r="F160"/>
  <c r="F144"/>
  <c r="F183"/>
  <c r="F154"/>
  <c r="F184"/>
  <c r="F155"/>
  <c r="F156"/>
  <c r="F157"/>
  <c r="F185"/>
  <c r="F158"/>
  <c r="D183"/>
  <c r="D154"/>
  <c r="D184"/>
  <c r="D155"/>
  <c r="D156"/>
  <c r="D157"/>
  <c r="D185"/>
  <c r="D158"/>
  <c r="F159"/>
  <c r="N159"/>
  <c r="M159" s="1"/>
  <c r="O159" s="1"/>
  <c r="D170"/>
  <c r="F170"/>
  <c r="N170"/>
  <c r="M170" s="1"/>
  <c r="D149"/>
  <c r="F149"/>
  <c r="N149"/>
  <c r="M149" s="1"/>
  <c r="D176"/>
  <c r="F176"/>
  <c r="N176"/>
  <c r="M176" s="1"/>
  <c r="U139" l="1"/>
  <c r="X139"/>
  <c r="U46"/>
  <c r="X46"/>
  <c r="U137"/>
  <c r="X137"/>
  <c r="U206"/>
  <c r="X206"/>
  <c r="U45"/>
  <c r="X45"/>
  <c r="U141"/>
  <c r="X141"/>
  <c r="U44"/>
  <c r="X44"/>
  <c r="U142"/>
  <c r="X142"/>
  <c r="O215"/>
  <c r="S215" s="1"/>
  <c r="T215" s="1"/>
  <c r="K215"/>
  <c r="O440"/>
  <c r="S440" s="1"/>
  <c r="T440" s="1"/>
  <c r="K440"/>
  <c r="O211"/>
  <c r="S211" s="1"/>
  <c r="T211" s="1"/>
  <c r="K211"/>
  <c r="O170"/>
  <c r="S170" s="1"/>
  <c r="T170" s="1"/>
  <c r="K170"/>
  <c r="O214"/>
  <c r="S214" s="1"/>
  <c r="T214" s="1"/>
  <c r="K214"/>
  <c r="O439"/>
  <c r="S439" s="1"/>
  <c r="T439" s="1"/>
  <c r="K439"/>
  <c r="O176"/>
  <c r="S176" s="1"/>
  <c r="T176" s="1"/>
  <c r="K176"/>
  <c r="K149"/>
  <c r="O149"/>
  <c r="S149" s="1"/>
  <c r="T149" s="1"/>
  <c r="O441"/>
  <c r="S441" s="1"/>
  <c r="T441" s="1"/>
  <c r="K441"/>
  <c r="O212"/>
  <c r="S212" s="1"/>
  <c r="T212" s="1"/>
  <c r="K212"/>
  <c r="O177"/>
  <c r="S177" s="1"/>
  <c r="T177" s="1"/>
  <c r="K177"/>
  <c r="O213"/>
  <c r="S213" s="1"/>
  <c r="T213" s="1"/>
  <c r="K213"/>
  <c r="O438"/>
  <c r="S438" s="1"/>
  <c r="T438" s="1"/>
  <c r="K438"/>
  <c r="Z137"/>
  <c r="AA137" s="1"/>
  <c r="Z46"/>
  <c r="AA46" s="1"/>
  <c r="K159"/>
  <c r="S159"/>
  <c r="T159" s="1"/>
  <c r="X159" s="1"/>
  <c r="F40"/>
  <c r="F37"/>
  <c r="D40"/>
  <c r="D37"/>
  <c r="N263"/>
  <c r="M263" s="1"/>
  <c r="N274"/>
  <c r="M274" s="1"/>
  <c r="Z124"/>
  <c r="AA124" s="1"/>
  <c r="U213" l="1"/>
  <c r="X213"/>
  <c r="U212"/>
  <c r="X212"/>
  <c r="U439"/>
  <c r="X439"/>
  <c r="U440"/>
  <c r="X440"/>
  <c r="W142"/>
  <c r="V142"/>
  <c r="W206"/>
  <c r="V206"/>
  <c r="W46"/>
  <c r="V46"/>
  <c r="U149"/>
  <c r="X149"/>
  <c r="U438"/>
  <c r="X438"/>
  <c r="U177"/>
  <c r="X177"/>
  <c r="U441"/>
  <c r="X441"/>
  <c r="U176"/>
  <c r="X176"/>
  <c r="U214"/>
  <c r="X214"/>
  <c r="U211"/>
  <c r="X211"/>
  <c r="U215"/>
  <c r="X215"/>
  <c r="W44"/>
  <c r="V44"/>
  <c r="V45"/>
  <c r="W45"/>
  <c r="V137"/>
  <c r="W137"/>
  <c r="V139"/>
  <c r="W139"/>
  <c r="U170"/>
  <c r="X170"/>
  <c r="V141"/>
  <c r="W141"/>
  <c r="O263"/>
  <c r="S263" s="1"/>
  <c r="T263" s="1"/>
  <c r="K263"/>
  <c r="K274"/>
  <c r="O274"/>
  <c r="S274" s="1"/>
  <c r="T274" s="1"/>
  <c r="Z215"/>
  <c r="AA215" s="1"/>
  <c r="U159"/>
  <c r="N70"/>
  <c r="M70" s="1"/>
  <c r="N72"/>
  <c r="M72" s="1"/>
  <c r="N296"/>
  <c r="M296" s="1"/>
  <c r="N82"/>
  <c r="M82" s="1"/>
  <c r="N251"/>
  <c r="M251" s="1"/>
  <c r="N247"/>
  <c r="M247" s="1"/>
  <c r="N87"/>
  <c r="M87" s="1"/>
  <c r="N73"/>
  <c r="M73" s="1"/>
  <c r="N283"/>
  <c r="M283" s="1"/>
  <c r="F69"/>
  <c r="D69"/>
  <c r="N76"/>
  <c r="M76" s="1"/>
  <c r="N78"/>
  <c r="M78" s="1"/>
  <c r="N79"/>
  <c r="M79" s="1"/>
  <c r="N85"/>
  <c r="M85" s="1"/>
  <c r="N89"/>
  <c r="M89" s="1"/>
  <c r="N88"/>
  <c r="M88" s="1"/>
  <c r="N84"/>
  <c r="M84" s="1"/>
  <c r="N86"/>
  <c r="M86" s="1"/>
  <c r="N8"/>
  <c r="O8" s="1"/>
  <c r="S8" s="1"/>
  <c r="T8" s="1"/>
  <c r="N230"/>
  <c r="O230" s="1"/>
  <c r="S230" s="1"/>
  <c r="T230" s="1"/>
  <c r="N304"/>
  <c r="O304" s="1"/>
  <c r="S304" s="1"/>
  <c r="T304" s="1"/>
  <c r="N280"/>
  <c r="O280" s="1"/>
  <c r="S280" s="1"/>
  <c r="T280" s="1"/>
  <c r="N13"/>
  <c r="O13" s="1"/>
  <c r="S13" s="1"/>
  <c r="T13" s="1"/>
  <c r="N186"/>
  <c r="O186" s="1"/>
  <c r="S186" s="1"/>
  <c r="T186" s="1"/>
  <c r="N98"/>
  <c r="O98" s="1"/>
  <c r="S98" s="1"/>
  <c r="T98" s="1"/>
  <c r="N97"/>
  <c r="O97" s="1"/>
  <c r="S97" s="1"/>
  <c r="T97" s="1"/>
  <c r="F36"/>
  <c r="D36"/>
  <c r="N120"/>
  <c r="M120" s="1"/>
  <c r="N125"/>
  <c r="M125" s="1"/>
  <c r="N403"/>
  <c r="M403" s="1"/>
  <c r="D316"/>
  <c r="F316"/>
  <c r="N316"/>
  <c r="M316" s="1"/>
  <c r="N122"/>
  <c r="M122" s="1"/>
  <c r="N90"/>
  <c r="M90" s="1"/>
  <c r="N91"/>
  <c r="M91" s="1"/>
  <c r="N35"/>
  <c r="M35" s="1"/>
  <c r="N48"/>
  <c r="M48" s="1"/>
  <c r="N49"/>
  <c r="M49" s="1"/>
  <c r="N55"/>
  <c r="M55" s="1"/>
  <c r="F122"/>
  <c r="D318"/>
  <c r="F318"/>
  <c r="N318"/>
  <c r="M318" s="1"/>
  <c r="N331"/>
  <c r="M331" s="1"/>
  <c r="N329"/>
  <c r="M329" s="1"/>
  <c r="N327"/>
  <c r="M327" s="1"/>
  <c r="N324"/>
  <c r="M324" s="1"/>
  <c r="N317"/>
  <c r="M317" s="1"/>
  <c r="N320"/>
  <c r="M320" s="1"/>
  <c r="N321"/>
  <c r="M321" s="1"/>
  <c r="N360"/>
  <c r="M360" s="1"/>
  <c r="N351"/>
  <c r="M351" s="1"/>
  <c r="N384"/>
  <c r="M384" s="1"/>
  <c r="N362"/>
  <c r="M362" s="1"/>
  <c r="N364"/>
  <c r="M364" s="1"/>
  <c r="N363"/>
  <c r="M363" s="1"/>
  <c r="F124"/>
  <c r="D124"/>
  <c r="F430"/>
  <c r="D430"/>
  <c r="F394"/>
  <c r="D394"/>
  <c r="N93"/>
  <c r="O93" s="1"/>
  <c r="S93" s="1"/>
  <c r="T93" s="1"/>
  <c r="N361"/>
  <c r="O361" s="1"/>
  <c r="S361" s="1"/>
  <c r="T361" s="1"/>
  <c r="N358"/>
  <c r="O358" s="1"/>
  <c r="S358" s="1"/>
  <c r="T358" s="1"/>
  <c r="N42"/>
  <c r="O42" s="1"/>
  <c r="S42" s="1"/>
  <c r="T42" s="1"/>
  <c r="N123"/>
  <c r="O123" s="1"/>
  <c r="S123" s="1"/>
  <c r="T123" s="1"/>
  <c r="N422"/>
  <c r="O422" s="1"/>
  <c r="S422" s="1"/>
  <c r="T422" s="1"/>
  <c r="N397"/>
  <c r="O397" s="1"/>
  <c r="S397" s="1"/>
  <c r="T397" s="1"/>
  <c r="N402"/>
  <c r="O402" s="1"/>
  <c r="S402" s="1"/>
  <c r="T402" s="1"/>
  <c r="N357"/>
  <c r="O357" s="1"/>
  <c r="S357" s="1"/>
  <c r="T357" s="1"/>
  <c r="N424"/>
  <c r="O424" s="1"/>
  <c r="S424" s="1"/>
  <c r="T424" s="1"/>
  <c r="N352"/>
  <c r="O352" s="1"/>
  <c r="S352" s="1"/>
  <c r="T352" s="1"/>
  <c r="N353"/>
  <c r="O353" s="1"/>
  <c r="S353" s="1"/>
  <c r="T353" s="1"/>
  <c r="N414"/>
  <c r="O414" s="1"/>
  <c r="S414" s="1"/>
  <c r="T414" s="1"/>
  <c r="N400"/>
  <c r="O400" s="1"/>
  <c r="S400" s="1"/>
  <c r="T400" s="1"/>
  <c r="N96"/>
  <c r="O96" s="1"/>
  <c r="S96" s="1"/>
  <c r="T96" s="1"/>
  <c r="N401"/>
  <c r="O401" s="1"/>
  <c r="S401" s="1"/>
  <c r="T401" s="1"/>
  <c r="N117"/>
  <c r="O117" s="1"/>
  <c r="S117" s="1"/>
  <c r="T117" s="1"/>
  <c r="U414" l="1"/>
  <c r="X414"/>
  <c r="U93"/>
  <c r="X93"/>
  <c r="U304"/>
  <c r="X304"/>
  <c r="U400"/>
  <c r="X400"/>
  <c r="U424"/>
  <c r="X424"/>
  <c r="U361"/>
  <c r="X361"/>
  <c r="U280"/>
  <c r="X280"/>
  <c r="V176"/>
  <c r="W176"/>
  <c r="W149"/>
  <c r="V149"/>
  <c r="U96"/>
  <c r="X96"/>
  <c r="U352"/>
  <c r="X352"/>
  <c r="U397"/>
  <c r="X397"/>
  <c r="U358"/>
  <c r="X358"/>
  <c r="U13"/>
  <c r="X13"/>
  <c r="U8"/>
  <c r="X8"/>
  <c r="U401"/>
  <c r="X401"/>
  <c r="U353"/>
  <c r="X353"/>
  <c r="U402"/>
  <c r="X402"/>
  <c r="U42"/>
  <c r="X42"/>
  <c r="U186"/>
  <c r="X186"/>
  <c r="U230"/>
  <c r="X230"/>
  <c r="V215"/>
  <c r="W215"/>
  <c r="W214"/>
  <c r="V214"/>
  <c r="V441"/>
  <c r="W441"/>
  <c r="W438"/>
  <c r="V438"/>
  <c r="W439"/>
  <c r="V439"/>
  <c r="V213"/>
  <c r="W213"/>
  <c r="U117"/>
  <c r="X117"/>
  <c r="U274"/>
  <c r="X274"/>
  <c r="U357"/>
  <c r="X357"/>
  <c r="U422"/>
  <c r="X422"/>
  <c r="U97"/>
  <c r="X97"/>
  <c r="V170"/>
  <c r="W170"/>
  <c r="V211"/>
  <c r="W211"/>
  <c r="V440"/>
  <c r="W440"/>
  <c r="V212"/>
  <c r="W212"/>
  <c r="U123"/>
  <c r="X123"/>
  <c r="U98"/>
  <c r="X98"/>
  <c r="U263"/>
  <c r="X263"/>
  <c r="W177"/>
  <c r="V177"/>
  <c r="Z401"/>
  <c r="AA401" s="1"/>
  <c r="Z230"/>
  <c r="AA230" s="1"/>
  <c r="Z8"/>
  <c r="AA8" s="1"/>
  <c r="Z353"/>
  <c r="AA353" s="1"/>
  <c r="Z414"/>
  <c r="AA414" s="1"/>
  <c r="O363"/>
  <c r="S363" s="1"/>
  <c r="T363" s="1"/>
  <c r="K363"/>
  <c r="O317"/>
  <c r="S317" s="1"/>
  <c r="T317" s="1"/>
  <c r="K317"/>
  <c r="O316"/>
  <c r="S316" s="1"/>
  <c r="T316" s="1"/>
  <c r="K316"/>
  <c r="K384"/>
  <c r="O384"/>
  <c r="S384" s="1"/>
  <c r="T384" s="1"/>
  <c r="O320"/>
  <c r="S320" s="1"/>
  <c r="T320" s="1"/>
  <c r="K320"/>
  <c r="O329"/>
  <c r="S329" s="1"/>
  <c r="T329" s="1"/>
  <c r="K329"/>
  <c r="O48"/>
  <c r="S48" s="1"/>
  <c r="T48" s="1"/>
  <c r="K48"/>
  <c r="K122"/>
  <c r="O122"/>
  <c r="S122" s="1"/>
  <c r="T122" s="1"/>
  <c r="K403"/>
  <c r="O403"/>
  <c r="S403" s="1"/>
  <c r="T403" s="1"/>
  <c r="O89"/>
  <c r="S89" s="1"/>
  <c r="T89" s="1"/>
  <c r="K89"/>
  <c r="K76"/>
  <c r="O76"/>
  <c r="S76" s="1"/>
  <c r="T76" s="1"/>
  <c r="O73"/>
  <c r="S73" s="1"/>
  <c r="T73" s="1"/>
  <c r="K73"/>
  <c r="O82"/>
  <c r="S82" s="1"/>
  <c r="T82" s="1"/>
  <c r="K82"/>
  <c r="K351"/>
  <c r="O351"/>
  <c r="S351" s="1"/>
  <c r="T351" s="1"/>
  <c r="O35"/>
  <c r="S35" s="1"/>
  <c r="T35" s="1"/>
  <c r="K35"/>
  <c r="O321"/>
  <c r="S321" s="1"/>
  <c r="T321" s="1"/>
  <c r="K321"/>
  <c r="O327"/>
  <c r="S327" s="1"/>
  <c r="T327" s="1"/>
  <c r="K327"/>
  <c r="O49"/>
  <c r="S49" s="1"/>
  <c r="T49" s="1"/>
  <c r="K49"/>
  <c r="O90"/>
  <c r="S90" s="1"/>
  <c r="T90" s="1"/>
  <c r="K90"/>
  <c r="O88"/>
  <c r="S88" s="1"/>
  <c r="T88" s="1"/>
  <c r="K88"/>
  <c r="O78"/>
  <c r="S78" s="1"/>
  <c r="T78" s="1"/>
  <c r="K78"/>
  <c r="O283"/>
  <c r="S283" s="1"/>
  <c r="T283" s="1"/>
  <c r="K283"/>
  <c r="O251"/>
  <c r="S251" s="1"/>
  <c r="T251" s="1"/>
  <c r="K251"/>
  <c r="O70"/>
  <c r="S70" s="1"/>
  <c r="T70" s="1"/>
  <c r="K70"/>
  <c r="O331"/>
  <c r="S331" s="1"/>
  <c r="T331" s="1"/>
  <c r="K331"/>
  <c r="O86"/>
  <c r="S86" s="1"/>
  <c r="T86" s="1"/>
  <c r="K86"/>
  <c r="O362"/>
  <c r="S362" s="1"/>
  <c r="T362" s="1"/>
  <c r="K362"/>
  <c r="K364"/>
  <c r="O364"/>
  <c r="S364" s="1"/>
  <c r="T364" s="1"/>
  <c r="O360"/>
  <c r="S360" s="1"/>
  <c r="T360" s="1"/>
  <c r="K360"/>
  <c r="O324"/>
  <c r="S324" s="1"/>
  <c r="T324" s="1"/>
  <c r="K324"/>
  <c r="O318"/>
  <c r="S318" s="1"/>
  <c r="T318" s="1"/>
  <c r="K318"/>
  <c r="O55"/>
  <c r="S55" s="1"/>
  <c r="T55" s="1"/>
  <c r="K55"/>
  <c r="O91"/>
  <c r="S91" s="1"/>
  <c r="T91" s="1"/>
  <c r="K91"/>
  <c r="O120"/>
  <c r="S120" s="1"/>
  <c r="T120" s="1"/>
  <c r="K120"/>
  <c r="O84"/>
  <c r="S84" s="1"/>
  <c r="T84" s="1"/>
  <c r="K84"/>
  <c r="O79"/>
  <c r="S79" s="1"/>
  <c r="T79" s="1"/>
  <c r="K79"/>
  <c r="K247"/>
  <c r="O247"/>
  <c r="S247" s="1"/>
  <c r="T247" s="1"/>
  <c r="O72"/>
  <c r="S72" s="1"/>
  <c r="T72" s="1"/>
  <c r="K72"/>
  <c r="O125"/>
  <c r="S125" s="1"/>
  <c r="T125" s="1"/>
  <c r="K125"/>
  <c r="O85"/>
  <c r="S85" s="1"/>
  <c r="T85" s="1"/>
  <c r="K85"/>
  <c r="O87"/>
  <c r="S87" s="1"/>
  <c r="T87" s="1"/>
  <c r="K87"/>
  <c r="O296"/>
  <c r="S296" s="1"/>
  <c r="T296" s="1"/>
  <c r="K296"/>
  <c r="V159"/>
  <c r="W159"/>
  <c r="N118"/>
  <c r="O118" s="1"/>
  <c r="S118" s="1"/>
  <c r="T118" s="1"/>
  <c r="N121"/>
  <c r="O121" s="1"/>
  <c r="S121" s="1"/>
  <c r="T121" s="1"/>
  <c r="N116"/>
  <c r="O116" s="1"/>
  <c r="S116" s="1"/>
  <c r="T116" s="1"/>
  <c r="U116" l="1"/>
  <c r="X116"/>
  <c r="U125"/>
  <c r="X125"/>
  <c r="U318"/>
  <c r="X318"/>
  <c r="U331"/>
  <c r="X331"/>
  <c r="U78"/>
  <c r="X78"/>
  <c r="X35"/>
  <c r="U35"/>
  <c r="U363"/>
  <c r="X363"/>
  <c r="U247"/>
  <c r="X247"/>
  <c r="U76"/>
  <c r="X76"/>
  <c r="W97"/>
  <c r="V97"/>
  <c r="V117"/>
  <c r="W117"/>
  <c r="U296"/>
  <c r="X296"/>
  <c r="U85"/>
  <c r="X85"/>
  <c r="U79"/>
  <c r="X79"/>
  <c r="X55"/>
  <c r="U55"/>
  <c r="U324"/>
  <c r="X324"/>
  <c r="U70"/>
  <c r="X70"/>
  <c r="U283"/>
  <c r="X283"/>
  <c r="X49"/>
  <c r="U49"/>
  <c r="U321"/>
  <c r="X321"/>
  <c r="U73"/>
  <c r="X73"/>
  <c r="U89"/>
  <c r="X89"/>
  <c r="U329"/>
  <c r="X329"/>
  <c r="U317"/>
  <c r="X317"/>
  <c r="U121"/>
  <c r="X121"/>
  <c r="U364"/>
  <c r="X364"/>
  <c r="U351"/>
  <c r="X351"/>
  <c r="U122"/>
  <c r="X122"/>
  <c r="U384"/>
  <c r="X384"/>
  <c r="V263"/>
  <c r="W263"/>
  <c r="V123"/>
  <c r="W123"/>
  <c r="W422"/>
  <c r="V422"/>
  <c r="W274"/>
  <c r="V274"/>
  <c r="W230"/>
  <c r="V230"/>
  <c r="V42"/>
  <c r="W42"/>
  <c r="W353"/>
  <c r="V353"/>
  <c r="W8"/>
  <c r="V8"/>
  <c r="W358"/>
  <c r="V358"/>
  <c r="W352"/>
  <c r="V352"/>
  <c r="V280"/>
  <c r="W280"/>
  <c r="W424"/>
  <c r="V424"/>
  <c r="W304"/>
  <c r="V304"/>
  <c r="W414"/>
  <c r="V414"/>
  <c r="U251"/>
  <c r="X251"/>
  <c r="U82"/>
  <c r="X82"/>
  <c r="U316"/>
  <c r="X316"/>
  <c r="U84"/>
  <c r="X84"/>
  <c r="U362"/>
  <c r="X362"/>
  <c r="U327"/>
  <c r="X327"/>
  <c r="U320"/>
  <c r="X320"/>
  <c r="V186"/>
  <c r="W186"/>
  <c r="W402"/>
  <c r="V402"/>
  <c r="W401"/>
  <c r="V401"/>
  <c r="W13"/>
  <c r="V13"/>
  <c r="W397"/>
  <c r="V397"/>
  <c r="W96"/>
  <c r="V96"/>
  <c r="W361"/>
  <c r="V361"/>
  <c r="W400"/>
  <c r="V400"/>
  <c r="V93"/>
  <c r="W93"/>
  <c r="U87"/>
  <c r="X87"/>
  <c r="U91"/>
  <c r="X91"/>
  <c r="U360"/>
  <c r="X360"/>
  <c r="U90"/>
  <c r="X90"/>
  <c r="U48"/>
  <c r="X48"/>
  <c r="U403"/>
  <c r="X403"/>
  <c r="V98"/>
  <c r="W98"/>
  <c r="V357"/>
  <c r="W357"/>
  <c r="U118"/>
  <c r="X118"/>
  <c r="U72"/>
  <c r="X72"/>
  <c r="U120"/>
  <c r="X120"/>
  <c r="U86"/>
  <c r="X86"/>
  <c r="U88"/>
  <c r="X88"/>
  <c r="Z85"/>
  <c r="AA85" s="1"/>
  <c r="Z84"/>
  <c r="AA84" s="1"/>
  <c r="Z316"/>
  <c r="AA316" s="1"/>
  <c r="Z79"/>
  <c r="AA79" s="1"/>
  <c r="Z384"/>
  <c r="AA384" s="1"/>
  <c r="Z78"/>
  <c r="AA78" s="1"/>
  <c r="N395"/>
  <c r="O395" s="1"/>
  <c r="S395" s="1"/>
  <c r="T395" s="1"/>
  <c r="N501"/>
  <c r="M501" s="1"/>
  <c r="M500"/>
  <c r="N344"/>
  <c r="M344" s="1"/>
  <c r="N442"/>
  <c r="M442" s="1"/>
  <c r="N443"/>
  <c r="M443" s="1"/>
  <c r="N216"/>
  <c r="M216" s="1"/>
  <c r="N188"/>
  <c r="M188" s="1"/>
  <c r="N109"/>
  <c r="M109" s="1"/>
  <c r="N10"/>
  <c r="M10" s="1"/>
  <c r="N11"/>
  <c r="M11" s="1"/>
  <c r="N68"/>
  <c r="M68" s="1"/>
  <c r="N67"/>
  <c r="M67" s="1"/>
  <c r="N222"/>
  <c r="O222" s="1"/>
  <c r="S222" s="1"/>
  <c r="T222" s="1"/>
  <c r="N308"/>
  <c r="O308" s="1"/>
  <c r="S308" s="1"/>
  <c r="T308" s="1"/>
  <c r="N302"/>
  <c r="M302" s="1"/>
  <c r="N243"/>
  <c r="M243" s="1"/>
  <c r="N278"/>
  <c r="M278" s="1"/>
  <c r="N287"/>
  <c r="M287" s="1"/>
  <c r="N281"/>
  <c r="M281" s="1"/>
  <c r="N285"/>
  <c r="M285" s="1"/>
  <c r="N289"/>
  <c r="M289" s="1"/>
  <c r="N288"/>
  <c r="M288" s="1"/>
  <c r="N286"/>
  <c r="M286" s="1"/>
  <c r="N80"/>
  <c r="M80" s="1"/>
  <c r="N221"/>
  <c r="M221" s="1"/>
  <c r="N284"/>
  <c r="M284" s="1"/>
  <c r="N226"/>
  <c r="M226" s="1"/>
  <c r="W88" l="1"/>
  <c r="V88"/>
  <c r="W118"/>
  <c r="V118"/>
  <c r="V48"/>
  <c r="W48"/>
  <c r="W360"/>
  <c r="V360"/>
  <c r="W362"/>
  <c r="V362"/>
  <c r="V316"/>
  <c r="W316"/>
  <c r="W251"/>
  <c r="V251"/>
  <c r="W122"/>
  <c r="V122"/>
  <c r="V317"/>
  <c r="W317"/>
  <c r="V321"/>
  <c r="W321"/>
  <c r="V324"/>
  <c r="W324"/>
  <c r="U222"/>
  <c r="X222"/>
  <c r="U308"/>
  <c r="X308"/>
  <c r="W86"/>
  <c r="V86"/>
  <c r="V72"/>
  <c r="W72"/>
  <c r="W403"/>
  <c r="V403"/>
  <c r="W90"/>
  <c r="V90"/>
  <c r="V91"/>
  <c r="W91"/>
  <c r="V327"/>
  <c r="W327"/>
  <c r="V84"/>
  <c r="W84"/>
  <c r="W82"/>
  <c r="V82"/>
  <c r="W384"/>
  <c r="V384"/>
  <c r="W351"/>
  <c r="V351"/>
  <c r="W121"/>
  <c r="V121"/>
  <c r="V329"/>
  <c r="W329"/>
  <c r="W73"/>
  <c r="V73"/>
  <c r="W70"/>
  <c r="V70"/>
  <c r="W85"/>
  <c r="V85"/>
  <c r="V76"/>
  <c r="W76"/>
  <c r="W363"/>
  <c r="V363"/>
  <c r="W78"/>
  <c r="V78"/>
  <c r="W318"/>
  <c r="V318"/>
  <c r="V116"/>
  <c r="W116"/>
  <c r="W49"/>
  <c r="V49"/>
  <c r="W55"/>
  <c r="V55"/>
  <c r="W89"/>
  <c r="V89"/>
  <c r="V283"/>
  <c r="W283"/>
  <c r="W79"/>
  <c r="V79"/>
  <c r="V296"/>
  <c r="W296"/>
  <c r="W247"/>
  <c r="V247"/>
  <c r="V331"/>
  <c r="W331"/>
  <c r="W125"/>
  <c r="V125"/>
  <c r="U395"/>
  <c r="X395"/>
  <c r="W120"/>
  <c r="V120"/>
  <c r="W87"/>
  <c r="V87"/>
  <c r="V320"/>
  <c r="W320"/>
  <c r="W364"/>
  <c r="V364"/>
  <c r="V35"/>
  <c r="W35"/>
  <c r="Z395"/>
  <c r="AA395" s="1"/>
  <c r="O288"/>
  <c r="S288" s="1"/>
  <c r="T288" s="1"/>
  <c r="K288"/>
  <c r="O11"/>
  <c r="S11" s="1"/>
  <c r="T11" s="1"/>
  <c r="K11"/>
  <c r="K226"/>
  <c r="O226"/>
  <c r="S226" s="1"/>
  <c r="T226" s="1"/>
  <c r="O286"/>
  <c r="S286" s="1"/>
  <c r="T286" s="1"/>
  <c r="K286"/>
  <c r="O281"/>
  <c r="S281" s="1"/>
  <c r="T281" s="1"/>
  <c r="K281"/>
  <c r="K302"/>
  <c r="O302"/>
  <c r="S302" s="1"/>
  <c r="T302" s="1"/>
  <c r="O68"/>
  <c r="S68" s="1"/>
  <c r="T68" s="1"/>
  <c r="K68"/>
  <c r="K188"/>
  <c r="O188"/>
  <c r="S188" s="1"/>
  <c r="T188" s="1"/>
  <c r="O344"/>
  <c r="S344" s="1"/>
  <c r="T344" s="1"/>
  <c r="K344"/>
  <c r="O500"/>
  <c r="S500" s="1"/>
  <c r="T500" s="1"/>
  <c r="K500"/>
  <c r="K285"/>
  <c r="O285"/>
  <c r="S285" s="1"/>
  <c r="T285" s="1"/>
  <c r="O243"/>
  <c r="S243" s="1"/>
  <c r="T243" s="1"/>
  <c r="K243"/>
  <c r="K67"/>
  <c r="O67"/>
  <c r="S67" s="1"/>
  <c r="T67" s="1"/>
  <c r="O109"/>
  <c r="S109" s="1"/>
  <c r="T109" s="1"/>
  <c r="K109"/>
  <c r="O442"/>
  <c r="S442" s="1"/>
  <c r="T442" s="1"/>
  <c r="K442"/>
  <c r="O287"/>
  <c r="S287" s="1"/>
  <c r="T287" s="1"/>
  <c r="K287"/>
  <c r="O216"/>
  <c r="S216" s="1"/>
  <c r="T216" s="1"/>
  <c r="K216"/>
  <c r="O80"/>
  <c r="S80" s="1"/>
  <c r="T80" s="1"/>
  <c r="K80"/>
  <c r="O221"/>
  <c r="S221" s="1"/>
  <c r="T221" s="1"/>
  <c r="K221"/>
  <c r="O289"/>
  <c r="S289" s="1"/>
  <c r="T289" s="1"/>
  <c r="K289"/>
  <c r="K278"/>
  <c r="O278"/>
  <c r="S278" s="1"/>
  <c r="T278" s="1"/>
  <c r="O10"/>
  <c r="S10" s="1"/>
  <c r="T10" s="1"/>
  <c r="K10"/>
  <c r="O443"/>
  <c r="S443" s="1"/>
  <c r="T443" s="1"/>
  <c r="K443"/>
  <c r="O501"/>
  <c r="S501" s="1"/>
  <c r="T501" s="1"/>
  <c r="K501"/>
  <c r="O284"/>
  <c r="S284" s="1"/>
  <c r="T284" s="1"/>
  <c r="K284"/>
  <c r="D259"/>
  <c r="F259"/>
  <c r="N259"/>
  <c r="M259" s="1"/>
  <c r="N255"/>
  <c r="M255" s="1"/>
  <c r="N258"/>
  <c r="M258" s="1"/>
  <c r="N291"/>
  <c r="M291" s="1"/>
  <c r="N219"/>
  <c r="M219" s="1"/>
  <c r="N223"/>
  <c r="M223" s="1"/>
  <c r="N235"/>
  <c r="M235" s="1"/>
  <c r="N236"/>
  <c r="M236" s="1"/>
  <c r="N240"/>
  <c r="M240" s="1"/>
  <c r="N239"/>
  <c r="M239" s="1"/>
  <c r="N228"/>
  <c r="M228" s="1"/>
  <c r="N295"/>
  <c r="M295" s="1"/>
  <c r="N15"/>
  <c r="M15" s="1"/>
  <c r="N18"/>
  <c r="M18" s="1"/>
  <c r="N16"/>
  <c r="M16" s="1"/>
  <c r="N20"/>
  <c r="M20" s="1"/>
  <c r="N21"/>
  <c r="M21" s="1"/>
  <c r="N14"/>
  <c r="M14" s="1"/>
  <c r="N218"/>
  <c r="M218" s="1"/>
  <c r="N217"/>
  <c r="M217" s="1"/>
  <c r="N407"/>
  <c r="M407" s="1"/>
  <c r="N408"/>
  <c r="M408" s="1"/>
  <c r="N29"/>
  <c r="M29" s="1"/>
  <c r="N24"/>
  <c r="M24" s="1"/>
  <c r="N17"/>
  <c r="M17" s="1"/>
  <c r="N31"/>
  <c r="M31" s="1"/>
  <c r="N30"/>
  <c r="M30" s="1"/>
  <c r="N19"/>
  <c r="M19" s="1"/>
  <c r="N107"/>
  <c r="M107" s="1"/>
  <c r="N105"/>
  <c r="M105" s="1"/>
  <c r="N62"/>
  <c r="M62" s="1"/>
  <c r="N101"/>
  <c r="M101" s="1"/>
  <c r="N25"/>
  <c r="M25" s="1"/>
  <c r="N504"/>
  <c r="M504" s="1"/>
  <c r="N242"/>
  <c r="M242" s="1"/>
  <c r="N454"/>
  <c r="O454" s="1"/>
  <c r="S454" s="1"/>
  <c r="T454" s="1"/>
  <c r="N492"/>
  <c r="O492" s="1"/>
  <c r="S492" s="1"/>
  <c r="T492" s="1"/>
  <c r="N483"/>
  <c r="O483" s="1"/>
  <c r="S483" s="1"/>
  <c r="T483" s="1"/>
  <c r="N484"/>
  <c r="O484" s="1"/>
  <c r="S484" s="1"/>
  <c r="T484" s="1"/>
  <c r="N452"/>
  <c r="O452" s="1"/>
  <c r="S452" s="1"/>
  <c r="T452" s="1"/>
  <c r="N450"/>
  <c r="O450" s="1"/>
  <c r="S450" s="1"/>
  <c r="T450" s="1"/>
  <c r="N448"/>
  <c r="O448" s="1"/>
  <c r="S448" s="1"/>
  <c r="T448" s="1"/>
  <c r="N466"/>
  <c r="O466" s="1"/>
  <c r="S466" s="1"/>
  <c r="T466" s="1"/>
  <c r="N457"/>
  <c r="O457" s="1"/>
  <c r="S457" s="1"/>
  <c r="T457" s="1"/>
  <c r="N481"/>
  <c r="O481" s="1"/>
  <c r="S481" s="1"/>
  <c r="T481" s="1"/>
  <c r="N479"/>
  <c r="O479" s="1"/>
  <c r="S479" s="1"/>
  <c r="T479" s="1"/>
  <c r="N507"/>
  <c r="O507" s="1"/>
  <c r="S507" s="1"/>
  <c r="T507" s="1"/>
  <c r="N505"/>
  <c r="O505" s="1"/>
  <c r="S505" s="1"/>
  <c r="T505" s="1"/>
  <c r="N508"/>
  <c r="O508" s="1"/>
  <c r="S508" s="1"/>
  <c r="T508" s="1"/>
  <c r="N510"/>
  <c r="O510" s="1"/>
  <c r="S510" s="1"/>
  <c r="T510" s="1"/>
  <c r="F509"/>
  <c r="F506"/>
  <c r="D509"/>
  <c r="D506"/>
  <c r="N474"/>
  <c r="O474" s="1"/>
  <c r="S474" s="1"/>
  <c r="T474" s="1"/>
  <c r="N487"/>
  <c r="O487" s="1"/>
  <c r="S487" s="1"/>
  <c r="T487" s="1"/>
  <c r="N343"/>
  <c r="O343" s="1"/>
  <c r="S343" s="1"/>
  <c r="T343" s="1"/>
  <c r="N339"/>
  <c r="O339" s="1"/>
  <c r="S339" s="1"/>
  <c r="T339" s="1"/>
  <c r="N110"/>
  <c r="O110" s="1"/>
  <c r="S110" s="1"/>
  <c r="T110" s="1"/>
  <c r="N391"/>
  <c r="O391" s="1"/>
  <c r="S391" s="1"/>
  <c r="T391" s="1"/>
  <c r="N111"/>
  <c r="O111" s="1"/>
  <c r="S111" s="1"/>
  <c r="T111" s="1"/>
  <c r="N104"/>
  <c r="O104" s="1"/>
  <c r="S104" s="1"/>
  <c r="T104" s="1"/>
  <c r="F367"/>
  <c r="D367"/>
  <c r="F57"/>
  <c r="D57"/>
  <c r="N56"/>
  <c r="O56" s="1"/>
  <c r="S56" s="1"/>
  <c r="T56" s="1"/>
  <c r="N126"/>
  <c r="O126" s="1"/>
  <c r="S126" s="1"/>
  <c r="T126" s="1"/>
  <c r="N369"/>
  <c r="O369" s="1"/>
  <c r="S369" s="1"/>
  <c r="T369" s="1"/>
  <c r="N393"/>
  <c r="O393" s="1"/>
  <c r="S393" s="1"/>
  <c r="T393" s="1"/>
  <c r="N411"/>
  <c r="M411" s="1"/>
  <c r="N405"/>
  <c r="M405" s="1"/>
  <c r="N241"/>
  <c r="M241" s="1"/>
  <c r="N238"/>
  <c r="M238" s="1"/>
  <c r="N227"/>
  <c r="M227" s="1"/>
  <c r="N232"/>
  <c r="M232" s="1"/>
  <c r="N231"/>
  <c r="M231" s="1"/>
  <c r="N229"/>
  <c r="M229" s="1"/>
  <c r="N293"/>
  <c r="M293" s="1"/>
  <c r="N311"/>
  <c r="M311" s="1"/>
  <c r="N276"/>
  <c r="M276" s="1"/>
  <c r="N365"/>
  <c r="M365" s="1"/>
  <c r="N383"/>
  <c r="M383" s="1"/>
  <c r="D312"/>
  <c r="F312"/>
  <c r="D238"/>
  <c r="F238"/>
  <c r="D241"/>
  <c r="F241"/>
  <c r="D231"/>
  <c r="F231"/>
  <c r="D227"/>
  <c r="F227"/>
  <c r="D232"/>
  <c r="F232"/>
  <c r="D229"/>
  <c r="F229"/>
  <c r="D311"/>
  <c r="F311"/>
  <c r="D405"/>
  <c r="F405"/>
  <c r="D419"/>
  <c r="F419"/>
  <c r="D411"/>
  <c r="F411"/>
  <c r="D56"/>
  <c r="F56"/>
  <c r="F126"/>
  <c r="D369"/>
  <c r="F369"/>
  <c r="D393"/>
  <c r="F393"/>
  <c r="F104"/>
  <c r="D110"/>
  <c r="F110"/>
  <c r="D391"/>
  <c r="F391"/>
  <c r="D111"/>
  <c r="F111"/>
  <c r="D339"/>
  <c r="F339"/>
  <c r="D343"/>
  <c r="F343"/>
  <c r="D474"/>
  <c r="F474"/>
  <c r="D487"/>
  <c r="F487"/>
  <c r="D502"/>
  <c r="F502"/>
  <c r="D510"/>
  <c r="F510"/>
  <c r="D507"/>
  <c r="F507"/>
  <c r="D505"/>
  <c r="F505"/>
  <c r="D508"/>
  <c r="F508"/>
  <c r="D492"/>
  <c r="F492"/>
  <c r="D245"/>
  <c r="F245"/>
  <c r="D479"/>
  <c r="F479"/>
  <c r="D452"/>
  <c r="F452"/>
  <c r="D450"/>
  <c r="F450"/>
  <c r="D448"/>
  <c r="F448"/>
  <c r="D466"/>
  <c r="F466"/>
  <c r="D457"/>
  <c r="F457"/>
  <c r="D481"/>
  <c r="F481"/>
  <c r="D454"/>
  <c r="F454"/>
  <c r="D484"/>
  <c r="F484"/>
  <c r="D483"/>
  <c r="F483"/>
  <c r="D186"/>
  <c r="F186"/>
  <c r="D97"/>
  <c r="F97"/>
  <c r="D98"/>
  <c r="F98"/>
  <c r="N310"/>
  <c r="M310" s="1"/>
  <c r="N306"/>
  <c r="M306" s="1"/>
  <c r="N309"/>
  <c r="M309" s="1"/>
  <c r="N303"/>
  <c r="M303" s="1"/>
  <c r="N254"/>
  <c r="M254" s="1"/>
  <c r="N270"/>
  <c r="M270" s="1"/>
  <c r="N248"/>
  <c r="M248" s="1"/>
  <c r="N272"/>
  <c r="M272" s="1"/>
  <c r="O272" s="1"/>
  <c r="N275"/>
  <c r="M275" s="1"/>
  <c r="N269"/>
  <c r="M269" s="1"/>
  <c r="N77"/>
  <c r="M77" s="1"/>
  <c r="N71"/>
  <c r="M71" s="1"/>
  <c r="N326"/>
  <c r="M326" s="1"/>
  <c r="N328"/>
  <c r="M328" s="1"/>
  <c r="F392"/>
  <c r="N94"/>
  <c r="M94" s="1"/>
  <c r="N356"/>
  <c r="M356" s="1"/>
  <c r="N127"/>
  <c r="M127" s="1"/>
  <c r="N112"/>
  <c r="M112" s="1"/>
  <c r="N106"/>
  <c r="M106" s="1"/>
  <c r="N379"/>
  <c r="M379" s="1"/>
  <c r="N377"/>
  <c r="M377" s="1"/>
  <c r="O377" s="1"/>
  <c r="N92"/>
  <c r="M92" s="1"/>
  <c r="N380"/>
  <c r="M380" s="1"/>
  <c r="D392"/>
  <c r="N355"/>
  <c r="M355" s="1"/>
  <c r="N38"/>
  <c r="M38" s="1"/>
  <c r="N39"/>
  <c r="M39" s="1"/>
  <c r="N34"/>
  <c r="M34" s="1"/>
  <c r="N340"/>
  <c r="M340" s="1"/>
  <c r="N346"/>
  <c r="M346" s="1"/>
  <c r="N4"/>
  <c r="M4" s="1"/>
  <c r="N64"/>
  <c r="M64" s="1"/>
  <c r="N342"/>
  <c r="M342" s="1"/>
  <c r="U339" l="1"/>
  <c r="X339"/>
  <c r="U126"/>
  <c r="X126"/>
  <c r="U391"/>
  <c r="X391"/>
  <c r="U487"/>
  <c r="X487"/>
  <c r="X505"/>
  <c r="U505"/>
  <c r="U457"/>
  <c r="X457"/>
  <c r="U452"/>
  <c r="X452"/>
  <c r="U454"/>
  <c r="X454"/>
  <c r="U188"/>
  <c r="X188"/>
  <c r="U302"/>
  <c r="X302"/>
  <c r="W395"/>
  <c r="V395"/>
  <c r="W308"/>
  <c r="V308"/>
  <c r="U369"/>
  <c r="X369"/>
  <c r="U111"/>
  <c r="X111"/>
  <c r="U343"/>
  <c r="X343"/>
  <c r="U508"/>
  <c r="X508"/>
  <c r="U481"/>
  <c r="X481"/>
  <c r="U450"/>
  <c r="X450"/>
  <c r="U492"/>
  <c r="X492"/>
  <c r="U284"/>
  <c r="X284"/>
  <c r="U443"/>
  <c r="X443"/>
  <c r="U221"/>
  <c r="X221"/>
  <c r="U216"/>
  <c r="X216"/>
  <c r="U442"/>
  <c r="X442"/>
  <c r="U344"/>
  <c r="X344"/>
  <c r="U68"/>
  <c r="X68"/>
  <c r="X281"/>
  <c r="U281"/>
  <c r="U288"/>
  <c r="X288"/>
  <c r="U393"/>
  <c r="X393"/>
  <c r="U510"/>
  <c r="X510"/>
  <c r="U479"/>
  <c r="X479"/>
  <c r="U448"/>
  <c r="X448"/>
  <c r="U483"/>
  <c r="X483"/>
  <c r="U278"/>
  <c r="X278"/>
  <c r="U67"/>
  <c r="X67"/>
  <c r="U285"/>
  <c r="X285"/>
  <c r="U226"/>
  <c r="X226"/>
  <c r="W222"/>
  <c r="V222"/>
  <c r="U104"/>
  <c r="X104"/>
  <c r="U56"/>
  <c r="X56"/>
  <c r="U110"/>
  <c r="X110"/>
  <c r="U474"/>
  <c r="X474"/>
  <c r="U507"/>
  <c r="X507"/>
  <c r="U466"/>
  <c r="X466"/>
  <c r="U484"/>
  <c r="X484"/>
  <c r="U501"/>
  <c r="X501"/>
  <c r="U10"/>
  <c r="X10"/>
  <c r="U289"/>
  <c r="X289"/>
  <c r="U80"/>
  <c r="X80"/>
  <c r="U287"/>
  <c r="X287"/>
  <c r="U109"/>
  <c r="X109"/>
  <c r="U243"/>
  <c r="X243"/>
  <c r="U500"/>
  <c r="X500"/>
  <c r="U286"/>
  <c r="X286"/>
  <c r="U11"/>
  <c r="X11"/>
  <c r="Z505"/>
  <c r="AA505" s="1"/>
  <c r="Z67"/>
  <c r="AA67" s="1"/>
  <c r="Z508"/>
  <c r="AA508" s="1"/>
  <c r="Z393"/>
  <c r="AA393" s="1"/>
  <c r="Z339"/>
  <c r="AA339" s="1"/>
  <c r="Z510"/>
  <c r="AA510" s="1"/>
  <c r="Z56"/>
  <c r="AA56" s="1"/>
  <c r="Z507"/>
  <c r="AA507" s="1"/>
  <c r="Z68"/>
  <c r="AA68" s="1"/>
  <c r="K39"/>
  <c r="O39"/>
  <c r="S39" s="1"/>
  <c r="T39" s="1"/>
  <c r="O94"/>
  <c r="S94" s="1"/>
  <c r="T94" s="1"/>
  <c r="K94"/>
  <c r="O303"/>
  <c r="S303" s="1"/>
  <c r="T303" s="1"/>
  <c r="K303"/>
  <c r="O326"/>
  <c r="S326" s="1"/>
  <c r="T326" s="1"/>
  <c r="K326"/>
  <c r="O254"/>
  <c r="S254" s="1"/>
  <c r="T254" s="1"/>
  <c r="K254"/>
  <c r="O310"/>
  <c r="S310" s="1"/>
  <c r="T310" s="1"/>
  <c r="K310"/>
  <c r="O276"/>
  <c r="S276" s="1"/>
  <c r="T276" s="1"/>
  <c r="K276"/>
  <c r="K231"/>
  <c r="O231"/>
  <c r="S231" s="1"/>
  <c r="T231" s="1"/>
  <c r="K241"/>
  <c r="O241"/>
  <c r="S241" s="1"/>
  <c r="T241" s="1"/>
  <c r="O504"/>
  <c r="S504" s="1"/>
  <c r="T504" s="1"/>
  <c r="K504"/>
  <c r="O105"/>
  <c r="S105" s="1"/>
  <c r="T105" s="1"/>
  <c r="K105"/>
  <c r="O31"/>
  <c r="S31" s="1"/>
  <c r="T31" s="1"/>
  <c r="K31"/>
  <c r="O408"/>
  <c r="S408" s="1"/>
  <c r="T408" s="1"/>
  <c r="K408"/>
  <c r="O14"/>
  <c r="S14" s="1"/>
  <c r="T14" s="1"/>
  <c r="K14"/>
  <c r="K18"/>
  <c r="O18"/>
  <c r="S18" s="1"/>
  <c r="T18" s="1"/>
  <c r="O239"/>
  <c r="S239" s="1"/>
  <c r="T239" s="1"/>
  <c r="K239"/>
  <c r="O223"/>
  <c r="S223" s="1"/>
  <c r="T223" s="1"/>
  <c r="K223"/>
  <c r="O255"/>
  <c r="S255" s="1"/>
  <c r="T255" s="1"/>
  <c r="K255"/>
  <c r="O380"/>
  <c r="S380" s="1"/>
  <c r="T380" s="1"/>
  <c r="K380"/>
  <c r="K71"/>
  <c r="O71"/>
  <c r="S71" s="1"/>
  <c r="T71" s="1"/>
  <c r="O64"/>
  <c r="S64" s="1"/>
  <c r="T64" s="1"/>
  <c r="K64"/>
  <c r="K34"/>
  <c r="O34"/>
  <c r="S34" s="1"/>
  <c r="T34" s="1"/>
  <c r="O379"/>
  <c r="S379" s="1"/>
  <c r="T379" s="1"/>
  <c r="K379"/>
  <c r="O356"/>
  <c r="S356" s="1"/>
  <c r="T356" s="1"/>
  <c r="K356"/>
  <c r="K275"/>
  <c r="O275"/>
  <c r="S275" s="1"/>
  <c r="T275" s="1"/>
  <c r="O342"/>
  <c r="S342" s="1"/>
  <c r="T342" s="1"/>
  <c r="K342"/>
  <c r="O340"/>
  <c r="S340" s="1"/>
  <c r="T340" s="1"/>
  <c r="K340"/>
  <c r="O355"/>
  <c r="S355" s="1"/>
  <c r="T355" s="1"/>
  <c r="K355"/>
  <c r="S377"/>
  <c r="T377" s="1"/>
  <c r="K377"/>
  <c r="K127"/>
  <c r="O127"/>
  <c r="S127" s="1"/>
  <c r="T127" s="1"/>
  <c r="O328"/>
  <c r="S328" s="1"/>
  <c r="T328" s="1"/>
  <c r="K328"/>
  <c r="K269"/>
  <c r="O269"/>
  <c r="S269" s="1"/>
  <c r="T269" s="1"/>
  <c r="K270"/>
  <c r="O270"/>
  <c r="S270" s="1"/>
  <c r="T270" s="1"/>
  <c r="O306"/>
  <c r="S306" s="1"/>
  <c r="T306" s="1"/>
  <c r="K306"/>
  <c r="K365"/>
  <c r="O365"/>
  <c r="S365" s="1"/>
  <c r="T365" s="1"/>
  <c r="O229"/>
  <c r="S229" s="1"/>
  <c r="T229" s="1"/>
  <c r="K229"/>
  <c r="O238"/>
  <c r="S238" s="1"/>
  <c r="T238" s="1"/>
  <c r="K238"/>
  <c r="S419"/>
  <c r="T419" s="1"/>
  <c r="O242"/>
  <c r="S242" s="1"/>
  <c r="T242" s="1"/>
  <c r="K242"/>
  <c r="O62"/>
  <c r="S62" s="1"/>
  <c r="T62" s="1"/>
  <c r="K62"/>
  <c r="K30"/>
  <c r="O30"/>
  <c r="S30" s="1"/>
  <c r="T30" s="1"/>
  <c r="O29"/>
  <c r="S29" s="1"/>
  <c r="T29" s="1"/>
  <c r="K29"/>
  <c r="K218"/>
  <c r="O218"/>
  <c r="S218" s="1"/>
  <c r="T218" s="1"/>
  <c r="O16"/>
  <c r="S16" s="1"/>
  <c r="T16" s="1"/>
  <c r="K16"/>
  <c r="O228"/>
  <c r="S228" s="1"/>
  <c r="T228" s="1"/>
  <c r="K228"/>
  <c r="O235"/>
  <c r="S235" s="1"/>
  <c r="T235" s="1"/>
  <c r="K235"/>
  <c r="K258"/>
  <c r="O258"/>
  <c r="S258" s="1"/>
  <c r="T258" s="1"/>
  <c r="O346"/>
  <c r="S346" s="1"/>
  <c r="T346" s="1"/>
  <c r="K346"/>
  <c r="O38"/>
  <c r="S38" s="1"/>
  <c r="T38" s="1"/>
  <c r="K38"/>
  <c r="O92"/>
  <c r="S92" s="1"/>
  <c r="T92" s="1"/>
  <c r="K92"/>
  <c r="O112"/>
  <c r="S112" s="1"/>
  <c r="T112" s="1"/>
  <c r="K112"/>
  <c r="O77"/>
  <c r="S77" s="1"/>
  <c r="T77" s="1"/>
  <c r="K77"/>
  <c r="K248"/>
  <c r="O248"/>
  <c r="S248" s="1"/>
  <c r="T248" s="1"/>
  <c r="O309"/>
  <c r="S309" s="1"/>
  <c r="T309" s="1"/>
  <c r="K309"/>
  <c r="O383"/>
  <c r="S383" s="1"/>
  <c r="T383" s="1"/>
  <c r="K383"/>
  <c r="O293"/>
  <c r="S293" s="1"/>
  <c r="T293" s="1"/>
  <c r="K293"/>
  <c r="O227"/>
  <c r="S227" s="1"/>
  <c r="T227" s="1"/>
  <c r="K227"/>
  <c r="O411"/>
  <c r="S411" s="1"/>
  <c r="T411" s="1"/>
  <c r="K411"/>
  <c r="O101"/>
  <c r="S101" s="1"/>
  <c r="T101" s="1"/>
  <c r="K101"/>
  <c r="O19"/>
  <c r="S19" s="1"/>
  <c r="T19" s="1"/>
  <c r="K19"/>
  <c r="O24"/>
  <c r="S24" s="1"/>
  <c r="T24" s="1"/>
  <c r="K24"/>
  <c r="O217"/>
  <c r="S217" s="1"/>
  <c r="T217" s="1"/>
  <c r="K217"/>
  <c r="O20"/>
  <c r="S20" s="1"/>
  <c r="T20" s="1"/>
  <c r="K20"/>
  <c r="O295"/>
  <c r="S295" s="1"/>
  <c r="T295" s="1"/>
  <c r="K295"/>
  <c r="O236"/>
  <c r="S236" s="1"/>
  <c r="T236" s="1"/>
  <c r="K236"/>
  <c r="O291"/>
  <c r="S291" s="1"/>
  <c r="T291" s="1"/>
  <c r="K291"/>
  <c r="K4"/>
  <c r="O4"/>
  <c r="S4" s="1"/>
  <c r="T4" s="1"/>
  <c r="O106"/>
  <c r="S106" s="1"/>
  <c r="T106" s="1"/>
  <c r="K106"/>
  <c r="S272"/>
  <c r="T272" s="1"/>
  <c r="K272"/>
  <c r="K311"/>
  <c r="O311"/>
  <c r="S311" s="1"/>
  <c r="T311" s="1"/>
  <c r="O232"/>
  <c r="S232" s="1"/>
  <c r="T232" s="1"/>
  <c r="K232"/>
  <c r="O405"/>
  <c r="S405" s="1"/>
  <c r="T405" s="1"/>
  <c r="K405"/>
  <c r="K25"/>
  <c r="O25"/>
  <c r="S25" s="1"/>
  <c r="T25" s="1"/>
  <c r="O107"/>
  <c r="S107" s="1"/>
  <c r="T107" s="1"/>
  <c r="K107"/>
  <c r="O17"/>
  <c r="S17" s="1"/>
  <c r="T17" s="1"/>
  <c r="K17"/>
  <c r="O407"/>
  <c r="S407" s="1"/>
  <c r="T407" s="1"/>
  <c r="K407"/>
  <c r="K21"/>
  <c r="O21"/>
  <c r="S21" s="1"/>
  <c r="T21" s="1"/>
  <c r="O15"/>
  <c r="S15" s="1"/>
  <c r="T15" s="1"/>
  <c r="K15"/>
  <c r="O240"/>
  <c r="S240" s="1"/>
  <c r="T240" s="1"/>
  <c r="K240"/>
  <c r="O219"/>
  <c r="S219" s="1"/>
  <c r="T219" s="1"/>
  <c r="K219"/>
  <c r="O259"/>
  <c r="S259" s="1"/>
  <c r="T259" s="1"/>
  <c r="K259"/>
  <c r="U407" l="1"/>
  <c r="X407"/>
  <c r="U217"/>
  <c r="X217"/>
  <c r="U309"/>
  <c r="X309"/>
  <c r="U235"/>
  <c r="X235"/>
  <c r="U229"/>
  <c r="X229"/>
  <c r="U127"/>
  <c r="X127"/>
  <c r="U71"/>
  <c r="X71"/>
  <c r="U240"/>
  <c r="X240"/>
  <c r="U17"/>
  <c r="X17"/>
  <c r="U272"/>
  <c r="X272"/>
  <c r="X20"/>
  <c r="U20"/>
  <c r="U101"/>
  <c r="X101"/>
  <c r="U383"/>
  <c r="X383"/>
  <c r="X38"/>
  <c r="U38"/>
  <c r="U242"/>
  <c r="X242"/>
  <c r="U238"/>
  <c r="X238"/>
  <c r="U328"/>
  <c r="X328"/>
  <c r="U340"/>
  <c r="X340"/>
  <c r="U64"/>
  <c r="X64"/>
  <c r="X223"/>
  <c r="U223"/>
  <c r="U105"/>
  <c r="X105"/>
  <c r="U276"/>
  <c r="X276"/>
  <c r="X21"/>
  <c r="U21"/>
  <c r="U25"/>
  <c r="X25"/>
  <c r="U4"/>
  <c r="X4"/>
  <c r="U248"/>
  <c r="X248"/>
  <c r="U258"/>
  <c r="X258"/>
  <c r="U218"/>
  <c r="X218"/>
  <c r="U30"/>
  <c r="X30"/>
  <c r="U365"/>
  <c r="X365"/>
  <c r="U270"/>
  <c r="X270"/>
  <c r="U275"/>
  <c r="X275"/>
  <c r="X18"/>
  <c r="U18"/>
  <c r="U241"/>
  <c r="X241"/>
  <c r="X39"/>
  <c r="U39"/>
  <c r="V11"/>
  <c r="W11"/>
  <c r="W500"/>
  <c r="V500"/>
  <c r="V109"/>
  <c r="W109"/>
  <c r="W80"/>
  <c r="V80"/>
  <c r="W10"/>
  <c r="V10"/>
  <c r="V484"/>
  <c r="W484"/>
  <c r="V507"/>
  <c r="W507"/>
  <c r="W110"/>
  <c r="V110"/>
  <c r="W104"/>
  <c r="V104"/>
  <c r="W226"/>
  <c r="V226"/>
  <c r="W67"/>
  <c r="V67"/>
  <c r="V483"/>
  <c r="W483"/>
  <c r="W479"/>
  <c r="V479"/>
  <c r="W393"/>
  <c r="V393"/>
  <c r="W344"/>
  <c r="V344"/>
  <c r="V216"/>
  <c r="W216"/>
  <c r="W443"/>
  <c r="V443"/>
  <c r="V492"/>
  <c r="W492"/>
  <c r="W481"/>
  <c r="V481"/>
  <c r="W343"/>
  <c r="V343"/>
  <c r="W369"/>
  <c r="V369"/>
  <c r="V188"/>
  <c r="W188"/>
  <c r="V452"/>
  <c r="W452"/>
  <c r="W391"/>
  <c r="V391"/>
  <c r="W339"/>
  <c r="V339"/>
  <c r="U15"/>
  <c r="X15"/>
  <c r="U291"/>
  <c r="X291"/>
  <c r="U293"/>
  <c r="X293"/>
  <c r="U346"/>
  <c r="X346"/>
  <c r="U16"/>
  <c r="X16"/>
  <c r="U419"/>
  <c r="X419"/>
  <c r="U306"/>
  <c r="X306"/>
  <c r="U355"/>
  <c r="X355"/>
  <c r="U342"/>
  <c r="X342"/>
  <c r="U356"/>
  <c r="X356"/>
  <c r="U255"/>
  <c r="X255"/>
  <c r="U239"/>
  <c r="X239"/>
  <c r="U14"/>
  <c r="X14"/>
  <c r="U31"/>
  <c r="X31"/>
  <c r="U504"/>
  <c r="X504"/>
  <c r="U310"/>
  <c r="X310"/>
  <c r="U326"/>
  <c r="X326"/>
  <c r="U94"/>
  <c r="X94"/>
  <c r="W281"/>
  <c r="V281"/>
  <c r="W505"/>
  <c r="V505"/>
  <c r="U219"/>
  <c r="X219"/>
  <c r="U107"/>
  <c r="X107"/>
  <c r="U106"/>
  <c r="X106"/>
  <c r="X19"/>
  <c r="U19"/>
  <c r="U77"/>
  <c r="X77"/>
  <c r="U29"/>
  <c r="X29"/>
  <c r="U231"/>
  <c r="X231"/>
  <c r="W286"/>
  <c r="V286"/>
  <c r="W243"/>
  <c r="V243"/>
  <c r="W287"/>
  <c r="V287"/>
  <c r="V289"/>
  <c r="W289"/>
  <c r="V501"/>
  <c r="W501"/>
  <c r="W466"/>
  <c r="V466"/>
  <c r="V474"/>
  <c r="W474"/>
  <c r="V56"/>
  <c r="W56"/>
  <c r="W285"/>
  <c r="V285"/>
  <c r="W278"/>
  <c r="V278"/>
  <c r="V448"/>
  <c r="W448"/>
  <c r="V510"/>
  <c r="W510"/>
  <c r="V288"/>
  <c r="W288"/>
  <c r="V68"/>
  <c r="W68"/>
  <c r="V442"/>
  <c r="W442"/>
  <c r="W221"/>
  <c r="V221"/>
  <c r="V284"/>
  <c r="W284"/>
  <c r="W450"/>
  <c r="V450"/>
  <c r="V508"/>
  <c r="W508"/>
  <c r="W111"/>
  <c r="V111"/>
  <c r="W302"/>
  <c r="V302"/>
  <c r="W454"/>
  <c r="V454"/>
  <c r="V457"/>
  <c r="W457"/>
  <c r="V487"/>
  <c r="W487"/>
  <c r="W126"/>
  <c r="V126"/>
  <c r="U405"/>
  <c r="X405"/>
  <c r="U295"/>
  <c r="X295"/>
  <c r="U411"/>
  <c r="X411"/>
  <c r="U92"/>
  <c r="X92"/>
  <c r="U62"/>
  <c r="X62"/>
  <c r="U311"/>
  <c r="X311"/>
  <c r="U269"/>
  <c r="X269"/>
  <c r="U34"/>
  <c r="X34"/>
  <c r="U259"/>
  <c r="X259"/>
  <c r="U232"/>
  <c r="X232"/>
  <c r="U236"/>
  <c r="X236"/>
  <c r="U24"/>
  <c r="X24"/>
  <c r="U227"/>
  <c r="X227"/>
  <c r="U112"/>
  <c r="X112"/>
  <c r="X228"/>
  <c r="U228"/>
  <c r="U377"/>
  <c r="X377"/>
  <c r="U379"/>
  <c r="X379"/>
  <c r="U380"/>
  <c r="X380"/>
  <c r="U408"/>
  <c r="X408"/>
  <c r="U254"/>
  <c r="X254"/>
  <c r="U303"/>
  <c r="X303"/>
  <c r="Z228"/>
  <c r="AA228" s="1"/>
  <c r="Z291"/>
  <c r="AA291" s="1"/>
  <c r="Z16"/>
  <c r="AA16" s="1"/>
  <c r="Z229"/>
  <c r="AA229" s="1"/>
  <c r="Z356"/>
  <c r="AA356" s="1"/>
  <c r="Z31"/>
  <c r="AA31" s="1"/>
  <c r="Z311"/>
  <c r="AA311" s="1"/>
  <c r="Z34"/>
  <c r="AA34" s="1"/>
  <c r="Z24"/>
  <c r="AA24" s="1"/>
  <c r="Z408"/>
  <c r="AA408" s="1"/>
  <c r="Z258"/>
  <c r="Z240"/>
  <c r="AA240" s="1"/>
  <c r="Z340"/>
  <c r="AA340" s="1"/>
  <c r="Z407"/>
  <c r="AA407" s="1"/>
  <c r="Z239"/>
  <c r="AA239" s="1"/>
  <c r="Z326"/>
  <c r="AA326" s="1"/>
  <c r="W380" l="1"/>
  <c r="V380"/>
  <c r="V24"/>
  <c r="W24"/>
  <c r="W92"/>
  <c r="V92"/>
  <c r="V310"/>
  <c r="W310"/>
  <c r="W303"/>
  <c r="V303"/>
  <c r="W408"/>
  <c r="V408"/>
  <c r="W379"/>
  <c r="V379"/>
  <c r="W227"/>
  <c r="V227"/>
  <c r="W236"/>
  <c r="V236"/>
  <c r="V259"/>
  <c r="W259"/>
  <c r="W269"/>
  <c r="V269"/>
  <c r="W62"/>
  <c r="V62"/>
  <c r="W411"/>
  <c r="V411"/>
  <c r="W405"/>
  <c r="V405"/>
  <c r="V231"/>
  <c r="W231"/>
  <c r="W77"/>
  <c r="V77"/>
  <c r="W106"/>
  <c r="V106"/>
  <c r="V219"/>
  <c r="W219"/>
  <c r="W326"/>
  <c r="V326"/>
  <c r="V504"/>
  <c r="W504"/>
  <c r="W14"/>
  <c r="V14"/>
  <c r="V255"/>
  <c r="W255"/>
  <c r="W342"/>
  <c r="V342"/>
  <c r="V306"/>
  <c r="W306"/>
  <c r="W16"/>
  <c r="V16"/>
  <c r="W293"/>
  <c r="V293"/>
  <c r="V15"/>
  <c r="W15"/>
  <c r="W270"/>
  <c r="V270"/>
  <c r="V30"/>
  <c r="W30"/>
  <c r="W258"/>
  <c r="V258"/>
  <c r="W4"/>
  <c r="V4"/>
  <c r="V105"/>
  <c r="W105"/>
  <c r="W64"/>
  <c r="V64"/>
  <c r="W328"/>
  <c r="V328"/>
  <c r="W242"/>
  <c r="V242"/>
  <c r="W383"/>
  <c r="V383"/>
  <c r="V17"/>
  <c r="W17"/>
  <c r="W71"/>
  <c r="V71"/>
  <c r="W229"/>
  <c r="V229"/>
  <c r="W309"/>
  <c r="V309"/>
  <c r="W407"/>
  <c r="V407"/>
  <c r="W228"/>
  <c r="V228"/>
  <c r="W39"/>
  <c r="V39"/>
  <c r="V18"/>
  <c r="W18"/>
  <c r="W21"/>
  <c r="V21"/>
  <c r="V20"/>
  <c r="W20"/>
  <c r="W254"/>
  <c r="V254"/>
  <c r="V34"/>
  <c r="W34"/>
  <c r="V239"/>
  <c r="W239"/>
  <c r="W355"/>
  <c r="V355"/>
  <c r="W419"/>
  <c r="V419"/>
  <c r="W346"/>
  <c r="V346"/>
  <c r="W241"/>
  <c r="V241"/>
  <c r="V275"/>
  <c r="W275"/>
  <c r="W365"/>
  <c r="V365"/>
  <c r="W218"/>
  <c r="V218"/>
  <c r="V248"/>
  <c r="W248"/>
  <c r="V25"/>
  <c r="W25"/>
  <c r="W276"/>
  <c r="V276"/>
  <c r="W340"/>
  <c r="V340"/>
  <c r="W238"/>
  <c r="V238"/>
  <c r="W101"/>
  <c r="V101"/>
  <c r="V272"/>
  <c r="W272"/>
  <c r="W240"/>
  <c r="V240"/>
  <c r="W127"/>
  <c r="V127"/>
  <c r="V235"/>
  <c r="W235"/>
  <c r="W217"/>
  <c r="V217"/>
  <c r="W377"/>
  <c r="V377"/>
  <c r="V112"/>
  <c r="W112"/>
  <c r="W232"/>
  <c r="V232"/>
  <c r="W311"/>
  <c r="V311"/>
  <c r="W295"/>
  <c r="V295"/>
  <c r="V29"/>
  <c r="W29"/>
  <c r="W107"/>
  <c r="V107"/>
  <c r="W94"/>
  <c r="V94"/>
  <c r="V31"/>
  <c r="W31"/>
  <c r="W356"/>
  <c r="V356"/>
  <c r="W291"/>
  <c r="V291"/>
  <c r="W19"/>
  <c r="V19"/>
  <c r="V223"/>
  <c r="W223"/>
  <c r="V38"/>
  <c r="W38"/>
  <c r="F340"/>
  <c r="F346"/>
  <c r="F4"/>
  <c r="F86"/>
  <c r="F34"/>
  <c r="F38"/>
  <c r="F39"/>
  <c r="F355"/>
  <c r="F380"/>
  <c r="F92"/>
  <c r="F377"/>
  <c r="F379"/>
  <c r="F106"/>
  <c r="F112"/>
  <c r="F127"/>
  <c r="F356"/>
  <c r="F94"/>
  <c r="F13"/>
  <c r="F304"/>
  <c r="F230"/>
  <c r="F8"/>
  <c r="F309"/>
  <c r="F303"/>
  <c r="F306"/>
  <c r="F310"/>
  <c r="F71"/>
  <c r="F77"/>
  <c r="F326"/>
  <c r="F328"/>
  <c r="F76"/>
  <c r="F85"/>
  <c r="F79"/>
  <c r="F78"/>
  <c r="F84"/>
  <c r="F88"/>
  <c r="F64"/>
  <c r="F89"/>
  <c r="F70"/>
  <c r="F72"/>
  <c r="F82"/>
  <c r="F251"/>
  <c r="F247"/>
  <c r="F87"/>
  <c r="F73"/>
  <c r="F80"/>
  <c r="F286"/>
  <c r="F226"/>
  <c r="F221"/>
  <c r="F368"/>
  <c r="F396"/>
  <c r="F354"/>
  <c r="F14"/>
  <c r="F15"/>
  <c r="F18"/>
  <c r="F16"/>
  <c r="F20"/>
  <c r="F21"/>
  <c r="F101"/>
  <c r="F62"/>
  <c r="F105"/>
  <c r="F107"/>
  <c r="F11"/>
  <c r="F10"/>
  <c r="F442"/>
  <c r="F443"/>
  <c r="F216"/>
  <c r="F188"/>
  <c r="F243"/>
  <c r="F302"/>
  <c r="F109"/>
  <c r="F344"/>
  <c r="F501"/>
  <c r="F500"/>
  <c r="F254"/>
  <c r="F248"/>
  <c r="F321"/>
  <c r="F320"/>
  <c r="F317"/>
  <c r="F331"/>
  <c r="F329"/>
  <c r="F324"/>
  <c r="F327"/>
  <c r="F54"/>
  <c r="F90"/>
  <c r="F91"/>
  <c r="F35"/>
  <c r="F48"/>
  <c r="F49"/>
  <c r="F55"/>
  <c r="F363"/>
  <c r="F384"/>
  <c r="F351"/>
  <c r="F360"/>
  <c r="F364"/>
  <c r="F362"/>
  <c r="F403"/>
  <c r="F125"/>
  <c r="F120"/>
  <c r="F242"/>
  <c r="F504"/>
  <c r="F25"/>
  <c r="F31"/>
  <c r="F17"/>
  <c r="F24"/>
  <c r="F29"/>
  <c r="F30"/>
  <c r="F19"/>
  <c r="F408"/>
  <c r="F218"/>
  <c r="F217"/>
  <c r="F407"/>
  <c r="F307"/>
  <c r="F236"/>
  <c r="F255"/>
  <c r="F258"/>
  <c r="F263"/>
  <c r="F228"/>
  <c r="F239"/>
  <c r="F240"/>
  <c r="F264"/>
  <c r="F262"/>
  <c r="F223"/>
  <c r="F235"/>
  <c r="F219"/>
  <c r="F397"/>
  <c r="F358"/>
  <c r="F395"/>
  <c r="F353"/>
  <c r="F401"/>
  <c r="F116"/>
  <c r="F121"/>
  <c r="F117"/>
  <c r="F118"/>
  <c r="F414"/>
  <c r="F352"/>
  <c r="F357"/>
  <c r="F93"/>
  <c r="F400"/>
  <c r="F96"/>
  <c r="F424"/>
  <c r="F422"/>
  <c r="F42"/>
  <c r="F402"/>
  <c r="F361"/>
  <c r="F123"/>
  <c r="F68"/>
  <c r="F67"/>
  <c r="F222"/>
  <c r="F308"/>
  <c r="F383"/>
  <c r="F365"/>
  <c r="F342"/>
  <c r="D340"/>
  <c r="D346"/>
  <c r="D4"/>
  <c r="D86"/>
  <c r="D34"/>
  <c r="D38"/>
  <c r="D39"/>
  <c r="D355"/>
  <c r="D380"/>
  <c r="D92"/>
  <c r="D377"/>
  <c r="D379"/>
  <c r="D106"/>
  <c r="D112"/>
  <c r="D127"/>
  <c r="D356"/>
  <c r="D94"/>
  <c r="D13"/>
  <c r="D304"/>
  <c r="D230"/>
  <c r="D8"/>
  <c r="D309"/>
  <c r="D303"/>
  <c r="D306"/>
  <c r="D310"/>
  <c r="D71"/>
  <c r="D77"/>
  <c r="D326"/>
  <c r="D328"/>
  <c r="D76"/>
  <c r="D85"/>
  <c r="D79"/>
  <c r="D78"/>
  <c r="D84"/>
  <c r="D88"/>
  <c r="D64"/>
  <c r="D89"/>
  <c r="D70"/>
  <c r="D72"/>
  <c r="D296"/>
  <c r="D82"/>
  <c r="D251"/>
  <c r="D247"/>
  <c r="D87"/>
  <c r="D73"/>
  <c r="D80"/>
  <c r="D286"/>
  <c r="D226"/>
  <c r="D221"/>
  <c r="D368"/>
  <c r="D396"/>
  <c r="D354"/>
  <c r="D14"/>
  <c r="D15"/>
  <c r="D18"/>
  <c r="D16"/>
  <c r="D20"/>
  <c r="D21"/>
  <c r="D101"/>
  <c r="D62"/>
  <c r="D105"/>
  <c r="D107"/>
  <c r="D11"/>
  <c r="D10"/>
  <c r="D442"/>
  <c r="D443"/>
  <c r="D216"/>
  <c r="D188"/>
  <c r="D299"/>
  <c r="D243"/>
  <c r="D302"/>
  <c r="D109"/>
  <c r="D344"/>
  <c r="D501"/>
  <c r="D500"/>
  <c r="D254"/>
  <c r="D248"/>
  <c r="D321"/>
  <c r="D320"/>
  <c r="D317"/>
  <c r="D331"/>
  <c r="D329"/>
  <c r="D324"/>
  <c r="D327"/>
  <c r="D54"/>
  <c r="D122"/>
  <c r="D90"/>
  <c r="D91"/>
  <c r="D35"/>
  <c r="D48"/>
  <c r="D49"/>
  <c r="D55"/>
  <c r="D363"/>
  <c r="D384"/>
  <c r="D351"/>
  <c r="D360"/>
  <c r="D364"/>
  <c r="D362"/>
  <c r="D403"/>
  <c r="D125"/>
  <c r="D120"/>
  <c r="D242"/>
  <c r="D504"/>
  <c r="D25"/>
  <c r="D31"/>
  <c r="D17"/>
  <c r="D24"/>
  <c r="D29"/>
  <c r="D30"/>
  <c r="D19"/>
  <c r="D408"/>
  <c r="D218"/>
  <c r="D217"/>
  <c r="D407"/>
  <c r="D236"/>
  <c r="D255"/>
  <c r="D258"/>
  <c r="D263"/>
  <c r="D228"/>
  <c r="D239"/>
  <c r="D240"/>
  <c r="D264"/>
  <c r="D262"/>
  <c r="D223"/>
  <c r="D235"/>
  <c r="D295"/>
  <c r="D267"/>
  <c r="D219"/>
  <c r="D397"/>
  <c r="D358"/>
  <c r="D395"/>
  <c r="D353"/>
  <c r="D401"/>
  <c r="D116"/>
  <c r="D121"/>
  <c r="D117"/>
  <c r="D118"/>
  <c r="D414"/>
  <c r="D352"/>
  <c r="D357"/>
  <c r="D93"/>
  <c r="D400"/>
  <c r="D96"/>
  <c r="D424"/>
  <c r="D422"/>
  <c r="D42"/>
  <c r="D402"/>
  <c r="D361"/>
  <c r="D123"/>
  <c r="D68"/>
  <c r="D67"/>
  <c r="D222"/>
  <c r="D308"/>
  <c r="D383"/>
  <c r="D365"/>
  <c r="D342"/>
  <c r="F3" l="1"/>
  <c r="Z122" l="1"/>
  <c r="AA122" s="1"/>
  <c r="Z91" l="1"/>
  <c r="AA91" s="1"/>
  <c r="Z443"/>
  <c r="AA443" s="1"/>
  <c r="Z188"/>
  <c r="AA188" s="1"/>
  <c r="Z90"/>
  <c r="AA90" s="1"/>
  <c r="Z276"/>
  <c r="AA276" s="1"/>
  <c r="Z442"/>
  <c r="AA442" s="1"/>
  <c r="Z216"/>
  <c r="AA216" s="1"/>
  <c r="Z263"/>
  <c r="AA263" s="1"/>
  <c r="Z94"/>
  <c r="AA94" s="1"/>
  <c r="Z403" l="1"/>
  <c r="AA403" s="1"/>
  <c r="AA258"/>
  <c r="Z125"/>
  <c r="AA125" s="1"/>
  <c r="Z274"/>
  <c r="AA274" s="1"/>
  <c r="Z328"/>
  <c r="AA328" s="1"/>
  <c r="Z264"/>
  <c r="AA264" s="1"/>
  <c r="Z255"/>
  <c r="AA255" s="1"/>
  <c r="Z262"/>
  <c r="AA262" s="1"/>
  <c r="M519" l="1"/>
  <c r="J123"/>
  <c r="K123" s="1"/>
  <c r="J104"/>
  <c r="K104" s="1"/>
  <c r="J117"/>
  <c r="K117" s="1"/>
  <c r="J391"/>
  <c r="K391" s="1"/>
  <c r="J424"/>
  <c r="K424" s="1"/>
  <c r="J505"/>
  <c r="K505" s="1"/>
  <c r="Z121"/>
  <c r="AA121" s="1"/>
  <c r="J308"/>
  <c r="K308" s="1"/>
  <c r="J121"/>
  <c r="K121" s="1"/>
  <c r="J483"/>
  <c r="K483" s="1"/>
  <c r="J472"/>
  <c r="K472" s="1"/>
  <c r="J42"/>
  <c r="K42" s="1"/>
  <c r="J484"/>
  <c r="K484" s="1"/>
  <c r="J97"/>
  <c r="K97" s="1"/>
  <c r="J304"/>
  <c r="K304" s="1"/>
  <c r="J508"/>
  <c r="K508" s="1"/>
  <c r="J230"/>
  <c r="K230" s="1"/>
  <c r="J393"/>
  <c r="K393" s="1"/>
  <c r="J457"/>
  <c r="K457" s="1"/>
  <c r="J13"/>
  <c r="K13" s="1"/>
  <c r="J126"/>
  <c r="K126" s="1"/>
  <c r="J422"/>
  <c r="K422" s="1"/>
  <c r="J186"/>
  <c r="K186" s="1"/>
  <c r="J507"/>
  <c r="K507" s="1"/>
  <c r="J369"/>
  <c r="K369" s="1"/>
  <c r="J502"/>
  <c r="K502" s="1"/>
  <c r="J56"/>
  <c r="K56" s="1"/>
  <c r="J222"/>
  <c r="K222" s="1"/>
  <c r="J110"/>
  <c r="K110" s="1"/>
  <c r="J111"/>
  <c r="K111" s="1"/>
  <c r="J8"/>
  <c r="K8" s="1"/>
  <c r="J353"/>
  <c r="K353" s="1"/>
  <c r="J339"/>
  <c r="K339" s="1"/>
  <c r="J466"/>
  <c r="K466" s="1"/>
  <c r="J492"/>
  <c r="K492" s="1"/>
  <c r="J357"/>
  <c r="K357" s="1"/>
  <c r="J479"/>
  <c r="K479" s="1"/>
  <c r="J402"/>
  <c r="K402" s="1"/>
  <c r="J361"/>
  <c r="K361" s="1"/>
  <c r="J280"/>
  <c r="K280" s="1"/>
  <c r="J510"/>
  <c r="K510" s="1"/>
  <c r="J452"/>
  <c r="K452" s="1"/>
  <c r="J352"/>
  <c r="K352" s="1"/>
  <c r="J96"/>
  <c r="K96" s="1"/>
  <c r="J401"/>
  <c r="K401" s="1"/>
  <c r="J474"/>
  <c r="K474" s="1"/>
  <c r="J93"/>
  <c r="K93" s="1"/>
  <c r="J358"/>
  <c r="K358" s="1"/>
  <c r="J454"/>
  <c r="K454" s="1"/>
  <c r="J116"/>
  <c r="K116" s="1"/>
  <c r="J487"/>
  <c r="K487" s="1"/>
  <c r="J118"/>
  <c r="K118" s="1"/>
  <c r="J395"/>
  <c r="K395" s="1"/>
  <c r="J448"/>
  <c r="K448" s="1"/>
  <c r="J400"/>
  <c r="K400" s="1"/>
  <c r="J481"/>
  <c r="K481" s="1"/>
  <c r="J343"/>
  <c r="K343" s="1"/>
  <c r="J414"/>
  <c r="K414" s="1"/>
  <c r="J450"/>
  <c r="K450" s="1"/>
  <c r="J98"/>
  <c r="J519" l="1"/>
  <c r="Z117"/>
  <c r="AA117" s="1"/>
  <c r="Z116"/>
  <c r="AA116" s="1"/>
  <c r="Z118"/>
  <c r="AA118" s="1"/>
  <c r="K98"/>
  <c r="K519" s="1"/>
  <c r="X2" l="1"/>
  <c r="O519"/>
  <c r="S370"/>
  <c r="T370" s="1"/>
  <c r="N519"/>
  <c r="X370" l="1"/>
  <c r="U370"/>
  <c r="V370" l="1"/>
  <c r="W370"/>
</calcChain>
</file>

<file path=xl/comments1.xml><?xml version="1.0" encoding="utf-8"?>
<comments xmlns="http://schemas.openxmlformats.org/spreadsheetml/2006/main">
  <authors>
    <author>Fikry</author>
    <author>r4cheem</author>
    <author>gigawork</author>
  </authors>
  <commentList>
    <comment ref="BN45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116,072
Min : 116,072</t>
        </r>
      </text>
    </comment>
    <comment ref="BR45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113,400
Min : 74,250</t>
        </r>
      </text>
    </comment>
    <comment ref="BB57" authorId="1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1 macam</t>
        </r>
      </text>
    </comment>
    <comment ref="AI124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104,550
Min : 104,550</t>
        </r>
      </text>
    </comment>
    <comment ref="AM124" authorId="0">
      <text>
        <r>
          <rPr>
            <b/>
            <sz val="9"/>
            <color indexed="81"/>
            <rFont val="Tahoma"/>
            <family val="2"/>
          </rPr>
          <t xml:space="preserve">Racheem
</t>
        </r>
        <r>
          <rPr>
            <sz val="9"/>
            <color indexed="81"/>
            <rFont val="Tahoma"/>
            <family val="2"/>
          </rPr>
          <t>Max: 118.703
Min: 104.738
Canvas dihapus</t>
        </r>
      </text>
    </comment>
    <comment ref="AQ124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112,050</t>
        </r>
      </text>
    </comment>
    <comment ref="AU124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148,050
Min : 111,150</t>
        </r>
      </text>
    </comment>
    <comment ref="BB124" authorId="1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Maks: 138.780
Min: 102.060</t>
        </r>
      </text>
    </comment>
    <comment ref="BN124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122.320
Min: 113.740
</t>
        </r>
      </text>
    </comment>
    <comment ref="AG128" authorId="2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Viena</t>
        </r>
      </text>
    </comment>
    <comment ref="AS134" authorId="2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besar</t>
        </r>
      </text>
    </comment>
    <comment ref="AQ14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121,500
Min : 85,500</t>
        </r>
      </text>
    </comment>
    <comment ref="AU14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161,100
Min : 86,850</t>
        </r>
      </text>
    </comment>
    <comment ref="BJ14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131.000
Min: 93.000</t>
        </r>
      </text>
    </comment>
    <comment ref="AQ153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119,250
Min : 119,250</t>
        </r>
      </text>
    </comment>
    <comment ref="AI21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144,500
Min : 71,825</t>
        </r>
      </text>
    </comment>
    <comment ref="AU21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180,900
Min : 126,000</t>
        </r>
      </text>
    </comment>
    <comment ref="BB21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174,960
Min : 174,960</t>
        </r>
      </text>
    </comment>
    <comment ref="BJ21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160,000
Min : 160,000</t>
        </r>
      </text>
    </comment>
    <comment ref="BN21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129,536
Min : 128,920</t>
        </r>
      </text>
    </comment>
  </commentList>
</comments>
</file>

<file path=xl/sharedStrings.xml><?xml version="1.0" encoding="utf-8"?>
<sst xmlns="http://schemas.openxmlformats.org/spreadsheetml/2006/main" count="6020" uniqueCount="1572">
  <si>
    <t>PENYUSUNAN HPP INFICLO 2018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</si>
  <si>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</si>
  <si>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</si>
  <si>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</si>
  <si>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</si>
  <si>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</si>
  <si>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</si>
  <si>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</si>
  <si>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</si>
  <si>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</si>
  <si>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</si>
  <si>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</si>
  <si>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</si>
  <si>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</si>
  <si>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</si>
  <si>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</si>
  <si>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</si>
  <si>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</si>
  <si>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</si>
  <si>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</si>
  <si>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</si>
  <si>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</si>
  <si>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</si>
  <si>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</si>
  <si>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</si>
  <si>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</si>
  <si>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</si>
  <si>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</si>
  <si>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</si>
  <si>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</si>
  <si>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</si>
  <si>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</si>
  <si>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</si>
  <si>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</si>
  <si>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</si>
  <si>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</si>
  <si>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</si>
  <si>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</si>
  <si>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</si>
  <si>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</si>
  <si>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</si>
  <si>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</si>
  <si>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</si>
  <si>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</si>
  <si>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</si>
  <si>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</si>
  <si>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</si>
  <si>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</si>
  <si>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</si>
  <si>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</si>
  <si>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</si>
  <si>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</si>
  <si>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</si>
  <si>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</si>
  <si>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</si>
  <si>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</si>
  <si>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</si>
  <si>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</si>
  <si>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</si>
  <si>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</si>
  <si>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</si>
  <si>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</si>
  <si>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</si>
  <si>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</si>
  <si>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</si>
  <si>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</si>
  <si>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</si>
  <si>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</si>
  <si>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</si>
  <si>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</si>
  <si>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</si>
  <si>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</si>
  <si>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</si>
  <si>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</si>
  <si>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</si>
  <si>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</si>
  <si>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</si>
  <si>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</si>
  <si>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</si>
  <si>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</si>
  <si>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</si>
  <si>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</si>
  <si>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</si>
  <si>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</si>
  <si>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</si>
  <si>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</si>
  <si>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</si>
  <si>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</si>
  <si>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</si>
  <si>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</si>
  <si>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</si>
  <si>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</si>
  <si>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</si>
  <si>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</si>
  <si>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</si>
  <si>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</si>
  <si>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</si>
  <si>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</si>
  <si>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</si>
  <si>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</si>
  <si>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</si>
  <si>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</si>
  <si>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</si>
  <si>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</si>
  <si>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</si>
  <si>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</si>
  <si>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</si>
  <si>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</si>
  <si>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</si>
  <si>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</si>
  <si>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</si>
  <si>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</si>
  <si>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</si>
  <si>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</si>
  <si>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</si>
  <si>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</si>
  <si>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</si>
  <si>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</si>
  <si>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</si>
  <si>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</si>
  <si>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</si>
  <si>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</si>
  <si>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</si>
  <si>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</si>
  <si>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</si>
  <si>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</si>
  <si>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</si>
  <si>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</si>
  <si>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</si>
  <si>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</si>
  <si>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</si>
  <si>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</si>
  <si>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</si>
  <si>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</si>
  <si>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</si>
  <si>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</si>
  <si>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</si>
  <si>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</si>
  <si>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</si>
  <si>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</si>
  <si>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</si>
  <si>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</si>
  <si>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</si>
  <si>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</si>
  <si>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</si>
  <si>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</si>
  <si>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</si>
  <si>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</si>
  <si>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</si>
  <si>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</si>
  <si>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</si>
  <si>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</si>
  <si>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</si>
  <si>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</si>
  <si>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</si>
  <si>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</si>
  <si>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</si>
  <si>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</si>
  <si>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</si>
  <si>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</si>
  <si>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</si>
  <si>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</si>
  <si>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</si>
  <si>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</si>
  <si>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</si>
  <si>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</si>
  <si>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</si>
  <si>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</si>
  <si>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</si>
  <si>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</si>
  <si>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</si>
  <si>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</si>
  <si>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</si>
  <si>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</si>
  <si>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</si>
  <si>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</si>
  <si>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</si>
  <si>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</si>
  <si>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</si>
  <si>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</si>
  <si>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</si>
  <si>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</si>
  <si>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</si>
  <si>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</si>
  <si>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</si>
  <si>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</si>
  <si>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</si>
  <si>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</si>
  <si>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</si>
  <si>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</si>
  <si>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</si>
  <si>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</si>
  <si>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</si>
  <si>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</si>
  <si>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</si>
  <si>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</si>
  <si>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</si>
  <si>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</si>
  <si>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</si>
  <si>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</si>
  <si>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</si>
  <si>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</si>
  <si>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</si>
  <si>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</si>
  <si>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</si>
  <si>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</si>
  <si>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</si>
  <si>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</si>
  <si>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</si>
  <si>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</si>
  <si>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</si>
  <si>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</si>
  <si>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</si>
  <si>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</si>
  <si>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</si>
  <si>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</si>
  <si>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</si>
  <si>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</si>
  <si>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</si>
  <si>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</si>
  <si>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</si>
  <si>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</si>
  <si>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</si>
  <si>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</si>
  <si>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</si>
  <si>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</si>
  <si>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</si>
  <si>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</si>
  <si>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</si>
  <si>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</si>
  <si>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</si>
  <si>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</si>
  <si>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</si>
  <si>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</si>
  <si>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</si>
  <si>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</si>
  <si>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</si>
  <si>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</si>
  <si>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</si>
  <si>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</si>
  <si>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</si>
  <si>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</si>
  <si>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</si>
  <si>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</si>
  <si>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</si>
  <si>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</si>
  <si>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</si>
  <si>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</si>
  <si>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</si>
  <si>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</si>
  <si>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</si>
  <si>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</si>
  <si>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</si>
  <si>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</si>
  <si>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</si>
  <si>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</si>
  <si>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</si>
  <si>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</si>
  <si>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</si>
  <si>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</si>
  <si>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</si>
  <si>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</si>
  <si>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</si>
  <si>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</si>
  <si>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</si>
  <si>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</si>
  <si>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</si>
  <si>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</si>
  <si>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</si>
  <si>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</si>
  <si>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</si>
  <si>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</si>
  <si>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</si>
  <si>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</si>
  <si>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</si>
  <si>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</si>
  <si>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</si>
  <si>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</si>
  <si>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</si>
  <si>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</si>
  <si>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</si>
  <si>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</si>
  <si>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</si>
  <si>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</si>
  <si>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</si>
  <si>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</si>
  <si>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</si>
  <si>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</si>
  <si>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</si>
  <si>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</si>
  <si>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</si>
  <si>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</si>
  <si>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</si>
  <si>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</si>
  <si>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</si>
  <si>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</si>
  <si>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</si>
  <si>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</si>
  <si>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</si>
  <si>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</si>
  <si>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</si>
  <si>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</si>
  <si>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</si>
  <si>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</si>
  <si>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</si>
  <si>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</si>
  <si>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</si>
  <si>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</si>
  <si>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</si>
  <si>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</si>
  <si>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</si>
  <si>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</si>
  <si>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</si>
  <si>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</si>
  <si>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</si>
  <si>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</si>
  <si>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</si>
  <si>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</si>
  <si>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</si>
  <si>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</si>
  <si>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</si>
  <si>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</si>
  <si>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</si>
  <si>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</si>
  <si>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</si>
  <si>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</si>
  <si>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</si>
  <si>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</si>
  <si>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</si>
  <si>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</si>
  <si>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</si>
  <si>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</si>
  <si>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</si>
  <si>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</si>
  <si>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</si>
  <si>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</si>
  <si>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</si>
  <si>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</si>
  <si>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</si>
  <si>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</si>
  <si>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</si>
  <si>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</si>
  <si>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</si>
  <si>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</si>
  <si>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</si>
  <si>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</si>
  <si>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</si>
  <si>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</si>
  <si>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</si>
  <si>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</si>
  <si>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</si>
  <si>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</si>
  <si>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</si>
  <si>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</si>
  <si>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</si>
  <si>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</si>
  <si>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</si>
  <si>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</si>
  <si>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</si>
  <si>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</si>
  <si>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</si>
  <si>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</si>
  <si>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</si>
  <si>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</si>
  <si>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</si>
  <si>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</si>
  <si>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</si>
  <si>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</si>
  <si>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</si>
  <si>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</si>
  <si>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</si>
  <si>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</si>
  <si>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</si>
  <si>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</si>
  <si>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</si>
  <si>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</si>
  <si>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</si>
  <si>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</si>
  <si>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</si>
  <si>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</si>
  <si>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</si>
  <si>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</si>
  <si>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</si>
  <si>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</si>
  <si>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</si>
  <si>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</si>
  <si>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</si>
  <si>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</si>
  <si>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</si>
  <si>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</si>
  <si>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</si>
  <si>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</si>
  <si>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</si>
  <si>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</si>
  <si>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</si>
  <si>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</si>
  <si>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</si>
  <si>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</si>
  <si>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</si>
  <si>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</si>
  <si>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</si>
  <si>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</si>
  <si>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</si>
  <si>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</si>
  <si>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</si>
  <si>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</si>
  <si>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</si>
  <si>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</si>
  <si>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</si>
  <si>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</si>
  <si>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</si>
  <si>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</si>
  <si>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</si>
  <si>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</si>
  <si>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</si>
  <si>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</si>
  <si>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</si>
  <si>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</si>
  <si>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</si>
  <si>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</si>
  <si>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</si>
  <si>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</si>
  <si>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</si>
  <si>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</si>
  <si>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</si>
  <si>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</si>
  <si>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</si>
  <si>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</si>
  <si>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</si>
  <si>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</si>
  <si>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</si>
  <si>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</si>
  <si>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</si>
  <si>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</si>
  <si>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</si>
  <si>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</si>
  <si>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</si>
  <si>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</si>
  <si>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</si>
  <si>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</si>
  <si>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</si>
  <si>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</si>
  <si>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</si>
  <si>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</si>
  <si>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</si>
  <si>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</si>
  <si>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</si>
  <si>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</si>
  <si>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</si>
  <si>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</si>
  <si>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</si>
  <si>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</si>
  <si>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</si>
  <si>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</si>
  <si>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</si>
  <si>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</si>
  <si>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</si>
  <si>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</si>
  <si>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</si>
  <si>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</si>
  <si>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</si>
  <si>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</si>
  <si>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</si>
  <si>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</si>
  <si>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</si>
  <si>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</si>
  <si>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</si>
  <si>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</si>
  <si>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</si>
  <si>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</si>
  <si>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</si>
  <si>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SMB 251</t>
  </si>
  <si>
    <t>SKL 832</t>
  </si>
  <si>
    <t>SDI 984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</si>
  <si>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</si>
  <si>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</si>
  <si>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</si>
  <si>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</si>
  <si>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</si>
  <si>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</si>
  <si>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</si>
  <si>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</si>
  <si>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</si>
  <si>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</si>
  <si>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</si>
  <si>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</si>
  <si>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</si>
  <si>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</si>
  <si>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</si>
  <si>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</si>
  <si>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</si>
  <si>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</si>
  <si>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</si>
  <si>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</si>
  <si>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</si>
  <si>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</si>
  <si>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</si>
  <si>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</si>
  <si>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</si>
  <si>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</si>
  <si>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</si>
  <si>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</si>
  <si>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</si>
  <si>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</si>
  <si>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</si>
  <si>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</si>
  <si>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</si>
  <si>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</si>
  <si>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</si>
  <si>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</si>
  <si>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</si>
  <si>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</si>
  <si>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</si>
  <si>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</si>
  <si>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</si>
  <si>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</si>
  <si>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</si>
  <si>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</si>
  <si>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</si>
  <si>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</si>
  <si>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</si>
  <si>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</si>
  <si>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</si>
  <si>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</si>
  <si>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</si>
  <si>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</si>
  <si>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</si>
  <si>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</si>
  <si>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</si>
  <si>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</si>
  <si>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</si>
  <si>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</si>
  <si>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</si>
  <si>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</si>
  <si>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</si>
  <si>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</si>
  <si>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</si>
  <si>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</si>
  <si>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</si>
  <si>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</si>
  <si>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</si>
  <si>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</si>
  <si>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</si>
  <si>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</si>
  <si>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</si>
  <si>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</si>
  <si>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</si>
  <si>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</si>
  <si>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</si>
  <si>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</si>
  <si>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</si>
  <si>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</si>
  <si>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</si>
  <si>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</si>
  <si>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</si>
  <si>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</si>
  <si>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</si>
  <si>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</si>
  <si>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</si>
  <si>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</si>
  <si>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</si>
  <si>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</si>
  <si>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</si>
  <si>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</si>
  <si>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</si>
  <si>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</si>
  <si>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</si>
  <si>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</si>
  <si>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</si>
  <si>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</si>
  <si>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</si>
  <si>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</si>
  <si>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</si>
  <si>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</si>
  <si>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</si>
  <si>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</si>
  <si>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</si>
  <si>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</si>
  <si>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</si>
  <si>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</si>
  <si>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</si>
  <si>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</si>
  <si>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</si>
  <si>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</si>
  <si>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</si>
  <si>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</si>
  <si>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</si>
  <si>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</si>
  <si>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</si>
  <si>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</si>
  <si>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</si>
  <si>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</si>
  <si>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</si>
  <si>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</si>
  <si>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</si>
  <si>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</si>
  <si>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</si>
  <si>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</si>
  <si>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</si>
  <si>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</si>
  <si>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</si>
  <si>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</si>
  <si>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</si>
  <si>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</si>
  <si>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</si>
  <si>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</si>
  <si>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</si>
  <si>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</si>
  <si>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</si>
  <si>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</si>
  <si>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</si>
  <si>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</si>
  <si>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</si>
  <si>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</si>
  <si>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</si>
  <si>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</si>
  <si>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</si>
  <si>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</si>
  <si>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</si>
  <si>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</si>
  <si>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</si>
  <si>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</si>
  <si>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</si>
  <si>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</si>
  <si>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</si>
  <si>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</si>
  <si>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</si>
  <si>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</si>
  <si>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</si>
  <si>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</si>
  <si>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</si>
  <si>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</si>
  <si>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</si>
  <si>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</si>
  <si>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</si>
  <si>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</si>
  <si>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</si>
  <si>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</si>
  <si>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</si>
  <si>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</si>
  <si>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</si>
  <si>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</si>
  <si>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</si>
  <si>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</si>
  <si>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</si>
  <si>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</si>
  <si>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</si>
  <si>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</si>
  <si>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</si>
  <si>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</si>
  <si>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</si>
  <si>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</si>
  <si>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</si>
  <si>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</si>
  <si>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</si>
  <si>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</si>
  <si>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</si>
  <si>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</si>
  <si>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</si>
  <si>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</si>
  <si>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</si>
  <si>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</si>
  <si>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</si>
  <si>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</si>
  <si>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</si>
  <si>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</si>
  <si>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</si>
  <si>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</si>
  <si>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</si>
  <si>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</si>
  <si>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</si>
  <si>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</si>
  <si>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</si>
  <si>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</si>
  <si>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</si>
  <si>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</si>
  <si>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</si>
  <si>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</si>
  <si>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</si>
  <si>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</si>
  <si>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</si>
  <si>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</si>
  <si>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</si>
  <si>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</si>
  <si>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</si>
  <si>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</si>
  <si>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</si>
  <si>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</si>
  <si>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</si>
  <si>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</si>
  <si>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</si>
  <si>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</si>
  <si>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</si>
  <si>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</si>
  <si>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</si>
  <si>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</si>
  <si>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</si>
  <si>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</si>
  <si>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</si>
  <si>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</si>
  <si>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</si>
  <si>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</si>
  <si>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</si>
  <si>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</si>
  <si>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</si>
  <si>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</si>
  <si>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</si>
  <si>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</si>
  <si>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</si>
  <si>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</si>
  <si>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</si>
  <si>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</si>
  <si>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</si>
  <si>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</si>
  <si>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</si>
  <si>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</si>
  <si>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</si>
  <si>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</si>
  <si>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</si>
  <si>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</si>
  <si>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</si>
  <si>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</si>
  <si>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</si>
  <si>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</si>
  <si>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</si>
  <si>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</si>
  <si>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</si>
  <si>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</si>
  <si>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</si>
  <si>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</si>
  <si>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</si>
  <si>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</si>
  <si>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</si>
  <si>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</si>
  <si>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</si>
  <si>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</si>
  <si>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</si>
  <si>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</si>
  <si>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</si>
  <si>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</si>
  <si>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</si>
  <si>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</si>
  <si>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</si>
  <si>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</si>
  <si>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</si>
  <si>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</si>
  <si>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</si>
  <si>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</si>
  <si>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</si>
  <si>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</si>
  <si>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</si>
  <si>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</si>
  <si>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</si>
  <si>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</si>
  <si>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</si>
  <si>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</si>
  <si>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</si>
  <si>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</si>
  <si>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</si>
  <si>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</si>
  <si>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</si>
  <si>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</si>
  <si>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</si>
  <si>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</si>
  <si>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</si>
  <si>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</si>
  <si>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</si>
  <si>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</si>
  <si>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</si>
  <si>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</si>
  <si>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</si>
  <si>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</si>
  <si>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</si>
  <si>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</si>
  <si>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</si>
  <si>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</si>
  <si>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</si>
  <si>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</si>
  <si>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</si>
  <si>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</si>
  <si>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</si>
  <si>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</si>
  <si>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</si>
  <si>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</si>
  <si>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</si>
  <si>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</si>
  <si>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</si>
  <si>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</si>
  <si>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</si>
  <si>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</si>
  <si>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</si>
  <si>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</si>
  <si>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</si>
  <si>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</si>
  <si>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</si>
  <si>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</si>
  <si>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</si>
  <si>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</si>
  <si>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</si>
  <si>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</si>
  <si>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</si>
  <si>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</si>
  <si>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</si>
  <si>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</si>
  <si>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</si>
  <si>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</si>
  <si>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</si>
  <si>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</si>
  <si>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</si>
  <si>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</si>
  <si>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</si>
  <si>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</si>
  <si>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</si>
  <si>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</si>
  <si>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</si>
  <si>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</si>
  <si>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</si>
  <si>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</si>
  <si>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</si>
  <si>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</si>
  <si>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</si>
  <si>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</si>
  <si>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</si>
  <si>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</si>
  <si>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</si>
  <si>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</si>
  <si>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</si>
  <si>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</si>
  <si>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</si>
  <si>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</si>
  <si>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</si>
  <si>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</si>
  <si>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</si>
  <si>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</si>
  <si>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</si>
  <si>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</si>
  <si>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</si>
  <si>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</si>
  <si>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</si>
  <si>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</si>
  <si>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</si>
  <si>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</si>
  <si>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</si>
  <si>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</si>
  <si>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</si>
  <si>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</si>
  <si>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</si>
  <si>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</si>
  <si>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</si>
  <si>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</si>
  <si>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</si>
  <si>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</si>
  <si>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</si>
  <si>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</si>
  <si>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</si>
  <si>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</si>
  <si>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</si>
  <si>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</si>
  <si>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</si>
  <si>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</si>
  <si>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</si>
  <si>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</si>
  <si>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</si>
  <si>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</si>
  <si>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</si>
  <si>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</si>
  <si>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</si>
  <si>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</si>
  <si>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</si>
  <si>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</si>
  <si>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</si>
  <si>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</si>
  <si>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</si>
  <si>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</si>
  <si>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</si>
  <si>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</si>
  <si>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</si>
  <si>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</si>
  <si>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</si>
  <si>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</si>
  <si>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</si>
  <si>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</si>
  <si>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</si>
  <si>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</si>
  <si>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</si>
  <si>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</si>
  <si>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</si>
  <si>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</si>
  <si>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</si>
  <si>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</si>
  <si>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</si>
  <si>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</si>
  <si>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</si>
  <si>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</si>
  <si>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</si>
  <si>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</si>
  <si>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</si>
  <si>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</si>
  <si>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</si>
  <si>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</si>
  <si>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</si>
  <si>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</si>
  <si>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</si>
  <si>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</si>
  <si>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</si>
  <si>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</si>
  <si>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</si>
  <si>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</si>
  <si>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</si>
  <si>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</si>
  <si>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</si>
  <si>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</si>
  <si>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</si>
  <si>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</si>
  <si>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</si>
  <si>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</si>
  <si>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</si>
  <si>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</si>
  <si>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</si>
  <si>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</si>
  <si>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</si>
  <si>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</si>
  <si>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</si>
  <si>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</si>
  <si>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</si>
  <si>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</si>
  <si>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</si>
  <si>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</si>
  <si>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</si>
  <si>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</si>
  <si>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</si>
  <si>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</si>
  <si>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</si>
  <si>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</si>
  <si>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</si>
  <si>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</si>
  <si>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</si>
  <si>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</si>
  <si>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</si>
  <si>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</si>
  <si>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</si>
  <si>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</si>
  <si>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</si>
  <si>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</si>
  <si>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</si>
  <si>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</si>
  <si>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</si>
  <si>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</si>
  <si>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</si>
  <si>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</si>
  <si>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</si>
  <si>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</si>
  <si>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</si>
  <si>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</si>
  <si>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</si>
  <si>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</si>
  <si>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</si>
  <si>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</si>
  <si>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</si>
  <si>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</si>
  <si>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</si>
  <si>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</si>
  <si>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</si>
  <si>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</si>
  <si>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</si>
  <si>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</si>
  <si>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</si>
  <si>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</si>
  <si>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</si>
  <si>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</si>
  <si>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</si>
  <si>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</si>
  <si>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</si>
  <si>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</si>
  <si>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</si>
  <si>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</si>
  <si>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</si>
  <si>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</si>
  <si>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</si>
  <si>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</si>
  <si>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</si>
  <si>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</si>
  <si>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</si>
  <si>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</si>
  <si>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</si>
  <si>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</si>
  <si>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</si>
  <si>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</si>
  <si>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</si>
  <si>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</si>
  <si>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</si>
  <si>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</si>
  <si>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</si>
  <si>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</si>
  <si>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</si>
  <si>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</si>
  <si>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</si>
  <si>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</si>
  <si>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</si>
  <si>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</si>
  <si>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</si>
  <si>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</si>
  <si>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</si>
  <si>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</si>
  <si>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</si>
  <si>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</si>
  <si>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</si>
  <si>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</si>
  <si>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</si>
  <si>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</si>
  <si>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</si>
  <si>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</si>
  <si>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</si>
  <si>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</si>
  <si>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</si>
  <si>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</si>
  <si>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</si>
  <si>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</si>
  <si>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</si>
  <si>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</si>
  <si>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</si>
  <si>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</si>
  <si>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</si>
  <si>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</si>
  <si>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</si>
  <si>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</si>
  <si>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</si>
  <si>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</si>
  <si>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</si>
  <si>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</si>
  <si>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</si>
  <si>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</si>
  <si>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</si>
  <si>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</si>
  <si>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</si>
  <si>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</si>
  <si>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</si>
  <si>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</si>
  <si>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</si>
  <si>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</si>
  <si>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</si>
  <si>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</si>
  <si>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</si>
  <si>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</si>
  <si>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</si>
  <si>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</si>
  <si>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</si>
  <si>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</si>
  <si>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</si>
  <si>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</si>
  <si>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</si>
  <si>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</si>
  <si>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</si>
  <si>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</si>
  <si>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</si>
  <si>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</si>
  <si>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</si>
  <si>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</si>
  <si>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</si>
  <si>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</si>
  <si>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</si>
  <si>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</si>
  <si>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</si>
  <si>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</si>
  <si>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</si>
  <si>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</si>
  <si>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</si>
  <si>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</si>
  <si>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</si>
  <si>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</si>
  <si>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</si>
  <si>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</si>
  <si>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</si>
  <si>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</si>
  <si>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</si>
  <si>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</si>
  <si>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</si>
  <si>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</si>
  <si>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</si>
  <si>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</si>
  <si>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</si>
  <si>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</si>
  <si>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</si>
  <si>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</si>
  <si>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</si>
  <si>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</si>
  <si>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</si>
  <si>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</si>
  <si>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</si>
  <si>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</si>
  <si>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</si>
  <si>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</si>
  <si>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</si>
  <si>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</si>
  <si>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</si>
  <si>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</si>
  <si>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</si>
  <si>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</si>
  <si>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</si>
  <si>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</si>
  <si>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</si>
  <si>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</si>
  <si>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</si>
  <si>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</si>
  <si>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</si>
  <si>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</si>
  <si>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</si>
  <si>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</si>
  <si>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</si>
  <si>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</si>
  <si>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</si>
  <si>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</si>
  <si>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</si>
  <si>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</si>
  <si>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</si>
  <si>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</si>
  <si>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</si>
  <si>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</si>
  <si>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</si>
  <si>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</si>
  <si>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</si>
  <si>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</si>
  <si>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</si>
  <si>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</si>
  <si>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</si>
  <si>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</si>
  <si>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</si>
  <si>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</si>
  <si>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</si>
  <si>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</si>
  <si>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</si>
  <si>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</si>
  <si>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</si>
  <si>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</si>
  <si>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</si>
  <si>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</si>
  <si>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</si>
  <si>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</si>
  <si>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</si>
  <si>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</si>
  <si>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</si>
  <si>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</si>
  <si>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</si>
  <si>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</si>
  <si>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</si>
  <si>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</si>
  <si>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</si>
  <si>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</si>
  <si>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</si>
  <si>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</si>
  <si>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</si>
  <si>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</si>
  <si>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</si>
  <si>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</si>
  <si>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</si>
  <si>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</si>
  <si>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</si>
  <si>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</si>
  <si>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</si>
  <si>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</si>
  <si>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</si>
  <si>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</si>
  <si>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</si>
  <si>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</si>
  <si>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</si>
  <si>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</si>
  <si>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</si>
  <si>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</si>
  <si>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</si>
  <si>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</si>
  <si>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</si>
  <si>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</si>
  <si>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</si>
  <si>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</si>
  <si>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</si>
  <si>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</si>
  <si>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</si>
  <si>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</si>
  <si>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</si>
  <si>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</si>
  <si>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</si>
  <si>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</si>
  <si>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</si>
  <si>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</si>
  <si>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</si>
  <si>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</si>
  <si>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</si>
  <si>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</si>
  <si>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</si>
  <si>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</si>
  <si>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</si>
  <si>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</si>
  <si>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</si>
  <si>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</si>
  <si>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</si>
  <si>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</si>
  <si>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</si>
  <si>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</si>
  <si>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</si>
  <si>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</si>
  <si>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</si>
  <si>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</si>
  <si>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</si>
  <si>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</si>
  <si>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</si>
  <si>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</si>
  <si>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</si>
  <si>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</si>
  <si>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</si>
  <si>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</si>
  <si>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</si>
  <si>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</si>
  <si>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</si>
  <si>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</si>
  <si>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</si>
  <si>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</si>
  <si>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</si>
  <si>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</si>
  <si>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</si>
  <si>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</si>
  <si>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</si>
  <si>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</si>
  <si>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</si>
  <si>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</si>
  <si>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</si>
  <si>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</si>
  <si>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</si>
  <si>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</si>
  <si>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</si>
  <si>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</si>
  <si>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</si>
  <si>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</si>
  <si>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</si>
  <si>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</si>
  <si>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</si>
  <si>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</si>
  <si>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</si>
  <si>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</si>
  <si>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</si>
  <si>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</si>
  <si>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</si>
  <si>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</si>
  <si>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</si>
  <si>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</si>
  <si>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</si>
  <si>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</si>
  <si>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</si>
  <si>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</si>
  <si>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</si>
  <si>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</si>
  <si>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</si>
  <si>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</si>
  <si>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</si>
  <si>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</si>
  <si>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</si>
  <si>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</si>
  <si>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</si>
  <si>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</si>
  <si>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</si>
  <si>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</si>
  <si>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</si>
  <si>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</si>
  <si>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</si>
  <si>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</si>
  <si>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</si>
  <si>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</si>
  <si>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</si>
  <si>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</si>
  <si>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</si>
  <si>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</si>
  <si>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</si>
  <si>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</si>
  <si>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</si>
  <si>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</si>
  <si>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</si>
  <si>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</si>
  <si>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</si>
  <si>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</si>
  <si>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</si>
  <si>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</si>
  <si>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</si>
  <si>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</si>
  <si>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</si>
  <si>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</si>
  <si>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</si>
  <si>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</si>
  <si>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</si>
  <si>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</si>
  <si>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</si>
  <si>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</si>
  <si>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</si>
  <si>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</si>
  <si>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</si>
  <si>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</si>
  <si>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</si>
  <si>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</si>
  <si>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</si>
  <si>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</si>
  <si>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</si>
  <si>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</si>
  <si>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</si>
  <si>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</si>
  <si>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</si>
  <si>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</si>
  <si>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</si>
  <si>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</si>
  <si>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</si>
  <si>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</si>
  <si>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</si>
  <si>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</si>
  <si>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</si>
  <si>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</si>
  <si>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</si>
  <si>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</si>
  <si>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</si>
  <si>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</si>
  <si>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</si>
  <si>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</si>
  <si>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</si>
  <si>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</si>
  <si>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</si>
  <si>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</si>
  <si>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</si>
  <si>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</si>
  <si>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</si>
  <si>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</si>
  <si>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</si>
  <si>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</si>
  <si>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</si>
  <si>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</si>
  <si>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</si>
  <si>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</si>
  <si>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</si>
  <si>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</si>
  <si>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</si>
  <si>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</si>
  <si>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</si>
  <si>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</si>
  <si>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</si>
  <si>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</si>
  <si>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</si>
  <si>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</si>
  <si>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</si>
  <si>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</si>
  <si>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</si>
  <si>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</si>
  <si>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</si>
  <si>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</si>
  <si>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</si>
  <si>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</si>
  <si>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</si>
  <si>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</si>
  <si>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</si>
  <si>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</si>
  <si>
    <t>katalog, slip kain, hangtag, laken XL</t>
  </si>
  <si>
    <t>katalog, slip kain, hangtag, logam emas, laken XL</t>
  </si>
  <si>
    <t>katalog, slip kain, hangtag, laken L</t>
  </si>
  <si>
    <t>katalog, slip kain, hangtag,logam emas, laken L</t>
  </si>
  <si>
    <t>katalog, slip kain, hangtag, logam nikel, laken XL</t>
  </si>
  <si>
    <t>katalog, laken s, hangtag, slip, logam nikel</t>
  </si>
  <si>
    <t>katalog, slip, slip, hangtag, laken L</t>
  </si>
  <si>
    <t>katalog, hangtag, slip, laken s</t>
  </si>
  <si>
    <t>katalog, hangtag, laken s</t>
  </si>
  <si>
    <t>katalog, hangtag, slip, laken m</t>
  </si>
  <si>
    <t>katalog, hangtag, slip, label id, laken xl</t>
  </si>
  <si>
    <t>katalog, hangtag, slip, label id, kulit, laken xl</t>
  </si>
  <si>
    <t>katalog, slip, label, hangtag, dus besar</t>
  </si>
  <si>
    <t>katalog, slip, label id, hangtag, plastik</t>
  </si>
  <si>
    <t>katalog, hangtag, slip, label, label lacoste, laken L</t>
  </si>
  <si>
    <t>katalog, slip, hangtag, logam emas, laken xl</t>
  </si>
  <si>
    <t>katalog, slip, label, hangtag, label lacoste, plastik</t>
  </si>
  <si>
    <t>katalog, slip, label, hangtag, label lacoste, laken l</t>
  </si>
  <si>
    <t>SPN 191</t>
  </si>
  <si>
    <t>STJ 189</t>
  </si>
  <si>
    <t>SPI 255</t>
  </si>
  <si>
    <t>SSP 254</t>
  </si>
  <si>
    <t>SPV 262</t>
  </si>
  <si>
    <t>katalog, slip, label, hangtag, dus</t>
  </si>
  <si>
    <t>katalog, slip, label, hangtag, laken l</t>
  </si>
  <si>
    <t>katalog, slip[, label, hangtag, emblem, laken l</t>
  </si>
  <si>
    <t>katalog, slip, hangtag, dus dompet</t>
  </si>
  <si>
    <t>katalog, slip,hangtag, dus</t>
  </si>
  <si>
    <t>katalog, hangtag, slip, label id, kulit inficlo, laken XL</t>
  </si>
  <si>
    <t>katalog, hangtag, slip kain, label id, logam nikel</t>
  </si>
  <si>
    <t>katalog, hangtag, slip, label ID, kulit II, gantungan resleting, laken XL</t>
  </si>
  <si>
    <t>katalog, hangtag, slip, label ID, laken XL</t>
  </si>
  <si>
    <t>katalog, hangtag, slip, label ID, gantungan resleting, laken xl</t>
  </si>
  <si>
    <t>katalog, hangtag, slip, label ID, kulit logo, gantungan resleting, laken xl, label kain</t>
  </si>
  <si>
    <t>katalog, hangtag, slip, label ID, label kain, kulit lubang, laken XL</t>
  </si>
  <si>
    <t>katalog, hangtag, slip, label id, label kain, laken L</t>
  </si>
  <si>
    <t>katalog, hangtag, slip, logam bakar, label ID, ganguntan resleting, laken L</t>
  </si>
  <si>
    <t>katalog, hangtag, slip, label ID, label kain, laken XL</t>
  </si>
  <si>
    <t>katalog, hangtag, slip, label ID, kulit jeans ce, laken M</t>
  </si>
  <si>
    <t>katalog, hangtag, slip, label ID, kulit + woven, laken XL</t>
  </si>
  <si>
    <t>INF 17</t>
  </si>
  <si>
    <t>INF 18</t>
  </si>
  <si>
    <t>JV 19</t>
  </si>
  <si>
    <t>katalog, plastik M, hangtag kertas, slip kain, label kain</t>
  </si>
  <si>
    <t>selisih 100, harga dari fitri 37.450</t>
  </si>
  <si>
    <t>katalog, laken M, hangtag kulit, slip karet</t>
  </si>
  <si>
    <t>katalog, laken L, hangtag kulit, slip karet</t>
  </si>
  <si>
    <t>katalog, laken L, hangtag kulit, slip kain, label kain, emblem baju #1</t>
  </si>
  <si>
    <t>Katalog - Laken (XL) - Hangtag Kulit - Slip Kain - Label ID</t>
  </si>
  <si>
    <t>Katalog - Laken (XL) - Hangtag Kulit - Slip Karet - Logam Cor Nikel</t>
  </si>
  <si>
    <t>Katalog - Dus - Hangtag Kulit - Slip Kain</t>
  </si>
  <si>
    <t>Katalog - Laken (L) - Hangtag Kulit - Slip Kain - Label Kain</t>
  </si>
  <si>
    <t>Katalog - Plastik (M) - Hangtag Kertas - Slip Kain - Label Kain</t>
  </si>
  <si>
    <t>Katalog - Laken (L) - Hangtag Kulit - Slip Karet</t>
  </si>
  <si>
    <t>Katalog - Laken (S) - Hangtag Kulit - Slip Karet - Logam Cor Nikel</t>
  </si>
  <si>
    <t>Katalog - Laken (XL) - Hangtag Kulit - Slip Karet - Logam Cor Emas</t>
  </si>
  <si>
    <t>Katalog - Laken (XL) - Hangtag Kulit - Slip Kain - Label ID - Kulit Tas#1</t>
  </si>
  <si>
    <t>Katalog - Laken (L) - Hangtag Kulit - Slip Kain - Label ID - Label Kain Tas New</t>
  </si>
  <si>
    <t xml:space="preserve">Katalog - Plastik (S) - Hangtag Kertas - Slip Kain </t>
  </si>
  <si>
    <t>Katalog - Dus Besar - Hangtag Kertas - Slip Kain - Label Kain</t>
  </si>
  <si>
    <t>Katalog - Plastik (M) - Hangtag Kertas - Slip Kain - Label Kain - Emblem Baju#2</t>
  </si>
  <si>
    <t xml:space="preserve">Katalog - Plastik (M) - Hangtag Kulit - Slip Kain - Label Kain </t>
  </si>
  <si>
    <t>Katalog - Laken (L) - Hangtag Kulit - Slip Kain - Label Kain - Emblem Baju #1</t>
  </si>
  <si>
    <t>Katalog - Laken (XL) - Hangtag Kulit - Slip Kain - Label ID - Emblem Tas #2</t>
  </si>
  <si>
    <t>Katalog - Laken (XL) - Hangtag Kulit - Slip Kain - Label ID - Emblem Tas #1</t>
  </si>
  <si>
    <t>Katalog - Laken (XL) - Hangtag Kulit - Slip Kain - Label ID - Label Kain Tas New</t>
  </si>
  <si>
    <t>Katalog - Laken L - Hangtag Kertas - Slip Kain - Slip Kain</t>
  </si>
  <si>
    <t>Katalog - Laken (L) - Hangtag Kulit - Slip Karet - Logam Cor Emas</t>
  </si>
  <si>
    <t>Katalog - Plastik (M) - Hangtag Kulit - Slip Kain - Label Kain</t>
  </si>
  <si>
    <t>Katalog - Laken (L) - Hangtag Kulit - Slip Karet - Logam Cor Bakar</t>
  </si>
  <si>
    <t xml:space="preserve">Katalog - Plastik (M) - Hangtag Hangtag - Slip Kain - Label Kain </t>
  </si>
  <si>
    <t>Katalog - Laken (L) - Hangtag Kulit - Slip Kain - Label Kain - Emblem Baju #2</t>
  </si>
  <si>
    <t>Katalog - Plastik (M) - Hangtag Kulit - Slip Kain - Label Kain - Emblem Baju#2</t>
  </si>
  <si>
    <t>selisih 150 dari harga yang di fitri (131.850)</t>
  </si>
  <si>
    <t>Buffer / Net</t>
  </si>
  <si>
    <t>Buffer / Gross</t>
  </si>
  <si>
    <t>selisi 200  dengan data dari fitri (54.950)</t>
  </si>
  <si>
    <t>selisih 600 dari harga dari fitri (67.600)</t>
  </si>
  <si>
    <t>selisi 5.300 dengan harga dari fitri</t>
  </si>
  <si>
    <t>katalog, slip, label ID, hangtag, laken L</t>
  </si>
  <si>
    <t>katalog, hangtag, slip kain, label ID, logam nikel, laken XL</t>
  </si>
  <si>
    <t>katalog, slip, label id, hangtag, laken xl</t>
  </si>
  <si>
    <t>katalog, slip, label, hangtag, plastik</t>
  </si>
  <si>
    <t>katalog, slip kain, label ID, hangtag, label woven + kulit, laken XL</t>
  </si>
  <si>
    <t>katalog, slip kain, label ID, hangtag kulit, laken XL</t>
  </si>
  <si>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</si>
  <si>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</si>
  <si>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</si>
  <si>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</si>
  <si>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</si>
  <si>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</si>
  <si>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</si>
  <si>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</si>
  <si>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</si>
  <si>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</si>
  <si>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</si>
  <si>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INF16</t>
  </si>
  <si>
    <t>[ % ]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</si>
  <si>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</si>
  <si>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</si>
  <si>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</si>
  <si>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</si>
  <si>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</si>
  <si>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</si>
  <si>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</si>
  <si>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</si>
  <si>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</si>
  <si>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</si>
  <si>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</si>
  <si>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</si>
  <si>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</si>
  <si>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</si>
  <si>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</si>
  <si>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</si>
  <si>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</si>
  <si>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</si>
  <si>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</si>
  <si>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</si>
  <si>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</si>
  <si>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</si>
  <si>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</si>
  <si>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</si>
  <si>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</si>
  <si>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</si>
  <si>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</si>
  <si>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</si>
  <si>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</si>
  <si>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</si>
  <si>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</si>
  <si>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</si>
  <si>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</si>
  <si>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</si>
  <si>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</si>
  <si>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</si>
  <si>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</si>
  <si>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</si>
  <si>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</si>
  <si>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</si>
  <si>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</si>
  <si>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</si>
  <si>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</si>
  <si>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INF - Anak - Tas - Tempat Minum</t>
  </si>
  <si>
    <t>INF - Anak - Tas - Mobil</t>
  </si>
  <si>
    <t>INF - Anak - Tas - Koper</t>
  </si>
  <si>
    <t>INF - Anak Co - Jaket - Jeans</t>
  </si>
  <si>
    <t>INF - Anak Co - Jaket - Vienna</t>
  </si>
  <si>
    <t>INF - Anak Co - Jaket - Despo</t>
  </si>
  <si>
    <t>INF - Anak Co - Jaket - Canvas</t>
  </si>
  <si>
    <t>INF - Anak Co - Jaket - Diadora</t>
  </si>
  <si>
    <t>INF - Anak Co - Sweter - Rajut</t>
  </si>
  <si>
    <t>INF - Anak Ce - Jaket - Canvas</t>
  </si>
  <si>
    <t>INF - Anak Ce - Dress - Jeans</t>
  </si>
  <si>
    <t>Inf - Anak Ce - Kemeja - Cotton Combad</t>
  </si>
  <si>
    <t>INF - Anak Ce - Jaket - Jeans</t>
  </si>
  <si>
    <t>INF - Anak Ce - Jaket - Fleece</t>
  </si>
  <si>
    <t>katalog, slip, hangtag, plastik</t>
  </si>
  <si>
    <t>ktalog, dus, slip, label, hangtag</t>
  </si>
  <si>
    <t>katalog, dus, slip, label, hangtag</t>
  </si>
  <si>
    <t>katalog, slip, label, hangtag, plastik, lacoste</t>
  </si>
  <si>
    <t xml:space="preserve">INF - Ce - Celana - Jeans </t>
  </si>
  <si>
    <t>belum ada kategori</t>
  </si>
  <si>
    <t xml:space="preserve">INF - Ce - Sarimbit - Katun </t>
  </si>
  <si>
    <t>INF - Ce - Jaket - Diadora/Lotto</t>
  </si>
  <si>
    <t>INF - Ce - Pakaian - Atasan - katun</t>
  </si>
  <si>
    <t>INF - Ce - Pakaian - Atasan - Katun</t>
  </si>
  <si>
    <t>INF - Ce - Pakaian - Atasan - Denim</t>
  </si>
  <si>
    <t xml:space="preserve">INF - Ce - Pakaian - Atasan </t>
  </si>
  <si>
    <t xml:space="preserve">INF - Ce - Tas Punggung </t>
  </si>
  <si>
    <t>INF - Ce - Tas Wanita - Semi/Kecil</t>
  </si>
  <si>
    <t>INF - Ce - Tas Punggung - Canvas</t>
  </si>
  <si>
    <t xml:space="preserve">INF - Tas - Anak - Umum </t>
  </si>
  <si>
    <t xml:space="preserve">INF - Co - Tas - Anak - Trolley </t>
  </si>
  <si>
    <t xml:space="preserve">INF - Tas - Anak - Mobil </t>
  </si>
  <si>
    <t xml:space="preserve">INF - Tas - Anak - Tempat Minum </t>
  </si>
  <si>
    <t xml:space="preserve">INF - Ce - Jaket - Anak - Fleece </t>
  </si>
  <si>
    <t>INF - Ce - Jaket - Anak - Jeans (K2)</t>
  </si>
  <si>
    <t>INF - Anak Ce - Jaket - Taslan</t>
  </si>
  <si>
    <t xml:space="preserve">INF - Ce - Mukena - Anak </t>
  </si>
  <si>
    <t xml:space="preserve">INF - Co - Jaket - Anak - Jeans </t>
  </si>
  <si>
    <t>INF - Anak Co - Jaket - Taslan</t>
  </si>
  <si>
    <t xml:space="preserve">INF - Co - Jaket - Anak - Viena </t>
  </si>
  <si>
    <t>INF - Ce - Sarimbit</t>
  </si>
  <si>
    <t>INF - Co - Sarimbit</t>
  </si>
  <si>
    <t xml:space="preserve">INF - Co - Sarimbit - Katun </t>
  </si>
  <si>
    <t>katalog, slip, hangtag, logam nikel, laken L</t>
  </si>
  <si>
    <t>katalog, slip, hangtag, woven + kulit, label id, laken XL</t>
  </si>
  <si>
    <t>katalog, slip, label ID, hangtag, laken XL</t>
  </si>
  <si>
    <t>katalog, slip, label pundak, hangtag, label ID, laken L</t>
  </si>
  <si>
    <t>katalog, slip, kulit jeans cp, hangtag, laken L</t>
  </si>
  <si>
    <t>katalog, slip, label pundak, hangtag, label lacoste, laken L</t>
  </si>
  <si>
    <t>katalog, hangtag kulit, slip karet, logam cor nikel, laken L</t>
  </si>
  <si>
    <t>katalog, slip karet, hangtag, logam nikel, laken L</t>
  </si>
  <si>
    <t>SCR 821</t>
  </si>
  <si>
    <t>INF - Co - Pakaian - Kurta</t>
  </si>
  <si>
    <t>SCR 266</t>
  </si>
  <si>
    <t>katalog, slip, label, hangtag, label depan, laken</t>
  </si>
  <si>
    <t>katalog, slip, label, hangtag, laken L</t>
  </si>
  <si>
    <t>katalog, slip, label, hangtag, laken jaket, laken L</t>
  </si>
  <si>
    <t>katalog, slip, hangtag, logam emas, laken XL</t>
  </si>
  <si>
    <t>katalog, slip, label, hangtag, kulit jeans, laken L</t>
  </si>
  <si>
    <t>katalog, slip, hangtag, logam bakar, laken L</t>
  </si>
  <si>
    <t>katalog, slip, label ID, hangtag, woven + kulit, laken XL</t>
  </si>
  <si>
    <t xml:space="preserve">INF - Ce - Dompet </t>
  </si>
  <si>
    <t xml:space="preserve">INF - Ce - Jaket - Lotto </t>
  </si>
  <si>
    <t xml:space="preserve">INF - Ce - Jaket - Fleece </t>
  </si>
  <si>
    <t xml:space="preserve">INF - Ce - Jaket - Jeans </t>
  </si>
  <si>
    <t xml:space="preserve">INF - Ce - Jaket - Parasit </t>
  </si>
  <si>
    <t xml:space="preserve">INF - Ce - Jaket - Viena </t>
  </si>
  <si>
    <t>INF - Ce - Jilbab (B1</t>
  </si>
  <si>
    <t xml:space="preserve">INF - Ce - Mukena - Katun </t>
  </si>
  <si>
    <t xml:space="preserve">INF - Ce - Atasan/Dres </t>
  </si>
  <si>
    <t xml:space="preserve">INF - Ce - Atasan/Dres - Jeans </t>
  </si>
  <si>
    <t xml:space="preserve">INF - Ce - Atasan/Dres - Katun </t>
  </si>
  <si>
    <t xml:space="preserve">INF - Ce - Atasan/Dres - Rajut </t>
  </si>
  <si>
    <t xml:space="preserve">INF - Ce - Gamis </t>
  </si>
  <si>
    <t xml:space="preserve">INF - Ce - Tas Punggung - Canvas </t>
  </si>
  <si>
    <t xml:space="preserve">INF - Ce - Tas Wanita </t>
  </si>
  <si>
    <t xml:space="preserve">INF - Ce - Tas Mini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</si>
</sst>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u/>
      <sz val="8.8000000000000007"/>
      <color theme="1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620AF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8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vertical="center"/>
    </xf>
    <xf numFmtId="164" fontId="0" fillId="10" borderId="0" xfId="1" applyNumberFormat="1" applyFont="1" applyFill="1"/>
    <xf numFmtId="41" fontId="2" fillId="1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164" fontId="7" fillId="9" borderId="0" xfId="1" applyNumberFormat="1" applyFont="1" applyFill="1" applyAlignment="1">
      <alignment horizontal="right" vertical="center"/>
    </xf>
    <xf numFmtId="164" fontId="7" fillId="9" borderId="0" xfId="1" applyNumberFormat="1" applyFont="1" applyFill="1" applyBorder="1" applyAlignment="1">
      <alignment horizontal="right"/>
    </xf>
    <xf numFmtId="41" fontId="1" fillId="4" borderId="0" xfId="2" applyFont="1" applyFill="1" applyAlignment="1">
      <alignment vertical="center"/>
    </xf>
    <xf numFmtId="41" fontId="1" fillId="9" borderId="0" xfId="2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41" fontId="1" fillId="9" borderId="0" xfId="0" applyNumberFormat="1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9" borderId="0" xfId="0" applyFont="1" applyFill="1" applyAlignment="1">
      <alignment horizontal="left" vertical="center"/>
    </xf>
    <xf numFmtId="41" fontId="2" fillId="9" borderId="0" xfId="2" applyFont="1" applyFill="1" applyAlignment="1">
      <alignment horizontal="left" vertical="center"/>
    </xf>
    <xf numFmtId="41" fontId="5" fillId="9" borderId="0" xfId="2" applyFont="1" applyFill="1" applyAlignment="1">
      <alignment horizontal="left" vertical="center"/>
    </xf>
    <xf numFmtId="41" fontId="6" fillId="9" borderId="0" xfId="2" applyFont="1" applyFill="1" applyAlignment="1">
      <alignment horizontal="left" vertical="center"/>
    </xf>
    <xf numFmtId="41" fontId="2" fillId="12" borderId="0" xfId="2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Alignment="1">
      <alignment horizontal="left" vertical="center"/>
    </xf>
    <xf numFmtId="41" fontId="1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7" fillId="15" borderId="0" xfId="0" applyFont="1" applyFill="1" applyBorder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9" fontId="2" fillId="13" borderId="0" xfId="0" applyNumberFormat="1" applyFont="1" applyFill="1" applyAlignment="1">
      <alignment horizontal="center" vertical="center"/>
    </xf>
    <xf numFmtId="9" fontId="2" fillId="14" borderId="0" xfId="0" applyNumberFormat="1" applyFont="1" applyFill="1" applyAlignment="1">
      <alignment horizontal="center" vertical="center"/>
    </xf>
    <xf numFmtId="164" fontId="0" fillId="14" borderId="0" xfId="1" applyNumberFormat="1" applyFont="1" applyFill="1" applyAlignment="1">
      <alignment horizontal="center" vertical="center"/>
    </xf>
    <xf numFmtId="41" fontId="1" fillId="14" borderId="0" xfId="0" applyNumberFormat="1" applyFont="1" applyFill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64" fontId="0" fillId="11" borderId="0" xfId="1" applyNumberFormat="1" applyFont="1" applyFill="1" applyAlignment="1">
      <alignment horizontal="center" vertical="center"/>
    </xf>
    <xf numFmtId="41" fontId="1" fillId="11" borderId="0" xfId="0" applyNumberFormat="1" applyFont="1" applyFill="1" applyAlignment="1">
      <alignment horizontal="center" vertical="center"/>
    </xf>
    <xf numFmtId="41" fontId="0" fillId="14" borderId="0" xfId="0" applyNumberFormat="1" applyFill="1" applyAlignment="1">
      <alignment horizontal="center" vertical="center"/>
    </xf>
    <xf numFmtId="164" fontId="0" fillId="15" borderId="0" xfId="1" applyNumberFormat="1" applyFont="1" applyFill="1" applyAlignment="1">
      <alignment horizontal="center" vertical="center"/>
    </xf>
    <xf numFmtId="41" fontId="1" fillId="1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1" fontId="1" fillId="12" borderId="0" xfId="0" applyNumberFormat="1" applyFont="1" applyFill="1" applyAlignment="1">
      <alignment horizontal="center" vertical="center"/>
    </xf>
    <xf numFmtId="41" fontId="1" fillId="12" borderId="0" xfId="2" applyFont="1" applyFill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  <xf numFmtId="9" fontId="1" fillId="12" borderId="0" xfId="1" applyNumberFormat="1" applyFont="1" applyFill="1" applyAlignment="1">
      <alignment horizontal="center" vertical="center"/>
    </xf>
    <xf numFmtId="41" fontId="1" fillId="12" borderId="0" xfId="1" applyNumberFormat="1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0" fillId="12" borderId="0" xfId="0" applyFont="1" applyFill="1" applyAlignment="1"/>
    <xf numFmtId="41" fontId="7" fillId="9" borderId="0" xfId="0" applyNumberFormat="1" applyFont="1" applyFill="1" applyBorder="1" applyAlignment="1"/>
    <xf numFmtId="41" fontId="2" fillId="9" borderId="0" xfId="2" applyFont="1" applyFill="1" applyAlignment="1">
      <alignment horizontal="left"/>
    </xf>
    <xf numFmtId="164" fontId="1" fillId="5" borderId="0" xfId="1" applyNumberFormat="1" applyFont="1" applyFill="1" applyAlignment="1"/>
    <xf numFmtId="41" fontId="0" fillId="3" borderId="0" xfId="0" applyNumberFormat="1" applyFont="1" applyFill="1" applyAlignment="1"/>
    <xf numFmtId="165" fontId="1" fillId="3" borderId="0" xfId="3" applyNumberFormat="1" applyFont="1" applyFill="1" applyAlignment="1">
      <alignment horizontal="center"/>
    </xf>
    <xf numFmtId="9" fontId="1" fillId="4" borderId="0" xfId="3" applyFont="1" applyFill="1" applyAlignment="1"/>
    <xf numFmtId="41" fontId="1" fillId="2" borderId="0" xfId="2" applyFont="1" applyFill="1" applyAlignment="1"/>
    <xf numFmtId="41" fontId="1" fillId="12" borderId="0" xfId="2" applyFont="1" applyFill="1" applyAlignment="1"/>
    <xf numFmtId="41" fontId="0" fillId="12" borderId="0" xfId="0" applyNumberFormat="1" applyFont="1" applyFill="1" applyAlignment="1">
      <alignment horizontal="center" vertical="center"/>
    </xf>
    <xf numFmtId="164" fontId="0" fillId="12" borderId="0" xfId="0" applyNumberFormat="1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1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4" borderId="0" xfId="0" applyNumberFormat="1" applyFont="1" applyFill="1" applyAlignment="1">
      <alignment vertical="center"/>
    </xf>
    <xf numFmtId="41" fontId="1" fillId="10" borderId="0" xfId="0" applyNumberFormat="1" applyFont="1" applyFill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9" fontId="1" fillId="5" borderId="0" xfId="0" applyNumberFormat="1" applyFont="1" applyFill="1" applyAlignment="1">
      <alignment horizontal="center" vertical="center"/>
    </xf>
    <xf numFmtId="164" fontId="1" fillId="16" borderId="0" xfId="1" applyNumberFormat="1" applyFont="1" applyFill="1" applyAlignment="1">
      <alignment horizontal="center" vertical="center"/>
    </xf>
    <xf numFmtId="41" fontId="1" fillId="8" borderId="0" xfId="0" applyNumberFormat="1" applyFont="1" applyFill="1" applyAlignment="1">
      <alignment horizontal="center" vertical="center"/>
    </xf>
    <xf numFmtId="41" fontId="1" fillId="16" borderId="0" xfId="0" applyNumberFormat="1" applyFont="1" applyFill="1" applyAlignment="1">
      <alignment horizontal="center" vertical="center"/>
    </xf>
    <xf numFmtId="9" fontId="1" fillId="16" borderId="0" xfId="0" applyNumberFormat="1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41" fontId="0" fillId="16" borderId="0" xfId="0" applyNumberFormat="1" applyFill="1" applyAlignment="1">
      <alignment horizontal="center" vertical="center"/>
    </xf>
    <xf numFmtId="164" fontId="1" fillId="8" borderId="0" xfId="1" applyNumberFormat="1" applyFont="1" applyFill="1" applyAlignment="1">
      <alignment horizontal="center" vertical="center"/>
    </xf>
    <xf numFmtId="164" fontId="1" fillId="14" borderId="0" xfId="1" applyNumberFormat="1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1" fillId="5" borderId="0" xfId="1" applyNumberFormat="1" applyFont="1" applyFill="1" applyAlignment="1">
      <alignment horizontal="center" vertical="center"/>
    </xf>
    <xf numFmtId="0" fontId="0" fillId="17" borderId="0" xfId="0" applyFill="1" applyAlignment="1">
      <alignment vertical="center"/>
    </xf>
    <xf numFmtId="164" fontId="1" fillId="10" borderId="0" xfId="0" applyNumberFormat="1" applyFont="1" applyFill="1" applyAlignment="1">
      <alignment vertical="center"/>
    </xf>
    <xf numFmtId="41" fontId="1" fillId="7" borderId="0" xfId="0" applyNumberFormat="1" applyFont="1" applyFill="1" applyAlignment="1">
      <alignment horizontal="center" vertical="center"/>
    </xf>
    <xf numFmtId="164" fontId="1" fillId="18" borderId="0" xfId="1" applyNumberFormat="1" applyFont="1" applyFill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41" fontId="0" fillId="2" borderId="0" xfId="0" applyNumberFormat="1" applyFill="1" applyAlignment="1">
      <alignment horizontal="center" vertical="center"/>
    </xf>
    <xf numFmtId="164" fontId="1" fillId="18" borderId="0" xfId="0" applyNumberFormat="1" applyFont="1" applyFill="1" applyAlignment="1">
      <alignment vertical="center"/>
    </xf>
    <xf numFmtId="0" fontId="14" fillId="0" borderId="0" xfId="7" applyAlignment="1" applyProtection="1"/>
    <xf numFmtId="41" fontId="0" fillId="10" borderId="0" xfId="2" applyFont="1" applyFill="1"/>
    <xf numFmtId="9" fontId="1" fillId="3" borderId="0" xfId="0" applyNumberFormat="1" applyFont="1" applyFill="1" applyAlignment="1">
      <alignment horizontal="center" vertical="center"/>
    </xf>
    <xf numFmtId="164" fontId="1" fillId="3" borderId="0" xfId="1" applyNumberFormat="1" applyFont="1" applyFill="1" applyAlignment="1">
      <alignment horizontal="center" vertical="center"/>
    </xf>
    <xf numFmtId="164" fontId="13" fillId="19" borderId="0" xfId="1" applyNumberFormat="1" applyFont="1" applyFill="1" applyBorder="1" applyAlignment="1">
      <alignment horizontal="center" vertical="center"/>
    </xf>
    <xf numFmtId="41" fontId="13" fillId="19" borderId="0" xfId="0" applyNumberFormat="1" applyFont="1" applyFill="1" applyBorder="1" applyAlignment="1">
      <alignment horizontal="center" vertical="center"/>
    </xf>
    <xf numFmtId="41" fontId="1" fillId="4" borderId="0" xfId="0" applyNumberFormat="1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12" borderId="0" xfId="0" applyFont="1" applyFill="1" applyAlignment="1">
      <alignment horizontal="center"/>
    </xf>
    <xf numFmtId="164" fontId="1" fillId="10" borderId="0" xfId="1" applyNumberFormat="1" applyFont="1" applyFill="1"/>
    <xf numFmtId="0" fontId="1" fillId="16" borderId="0" xfId="0" applyFont="1" applyFill="1"/>
    <xf numFmtId="164" fontId="1" fillId="16" borderId="0" xfId="1" applyNumberFormat="1" applyFont="1" applyFill="1"/>
    <xf numFmtId="164" fontId="1" fillId="14" borderId="0" xfId="1" applyNumberFormat="1" applyFont="1" applyFill="1"/>
    <xf numFmtId="164" fontId="1" fillId="8" borderId="0" xfId="1" applyNumberFormat="1" applyFont="1" applyFill="1"/>
    <xf numFmtId="10" fontId="1" fillId="5" borderId="0" xfId="0" applyNumberFormat="1" applyFont="1" applyFill="1" applyAlignment="1">
      <alignment horizontal="center" vertical="center"/>
    </xf>
    <xf numFmtId="3" fontId="0" fillId="10" borderId="0" xfId="0" applyNumberFormat="1" applyFill="1"/>
    <xf numFmtId="41" fontId="0" fillId="16" borderId="0" xfId="0" applyNumberFormat="1" applyFill="1" applyAlignment="1">
      <alignment horizontal="center" vertical="center" wrapText="1"/>
    </xf>
    <xf numFmtId="41" fontId="7" fillId="9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1" fillId="20" borderId="0" xfId="1" applyNumberFormat="1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164" fontId="1" fillId="16" borderId="0" xfId="1" applyNumberFormat="1" applyFont="1" applyFill="1" applyAlignment="1">
      <alignment vertical="center"/>
    </xf>
    <xf numFmtId="9" fontId="1" fillId="5" borderId="0" xfId="3" applyNumberFormat="1" applyFont="1" applyFill="1" applyAlignment="1">
      <alignment horizontal="center" vertical="center"/>
    </xf>
    <xf numFmtId="164" fontId="0" fillId="14" borderId="0" xfId="1" applyNumberFormat="1" applyFont="1" applyFill="1" applyAlignment="1">
      <alignment vertical="center"/>
    </xf>
    <xf numFmtId="164" fontId="1" fillId="8" borderId="0" xfId="1" applyNumberFormat="1" applyFont="1" applyFill="1" applyAlignment="1">
      <alignment vertical="center"/>
    </xf>
    <xf numFmtId="41" fontId="1" fillId="18" borderId="0" xfId="0" applyNumberFormat="1" applyFont="1" applyFill="1" applyAlignment="1">
      <alignment horizontal="center" vertical="center"/>
    </xf>
    <xf numFmtId="164" fontId="1" fillId="10" borderId="0" xfId="1" applyNumberFormat="1" applyFont="1" applyFill="1" applyAlignment="1">
      <alignment vertical="center"/>
    </xf>
    <xf numFmtId="41" fontId="0" fillId="18" borderId="0" xfId="0" applyNumberFormat="1" applyFill="1" applyAlignment="1">
      <alignment horizontal="center" vertical="center"/>
    </xf>
    <xf numFmtId="164" fontId="1" fillId="10" borderId="0" xfId="1" quotePrefix="1" applyNumberFormat="1" applyFont="1" applyFill="1" applyAlignment="1">
      <alignment vertical="center"/>
    </xf>
    <xf numFmtId="41" fontId="3" fillId="14" borderId="0" xfId="0" applyNumberFormat="1" applyFont="1" applyFill="1" applyAlignment="1">
      <alignment horizontal="center" vertical="center"/>
    </xf>
    <xf numFmtId="41" fontId="3" fillId="10" borderId="0" xfId="0" applyNumberFormat="1" applyFont="1" applyFill="1" applyAlignment="1">
      <alignment horizontal="center" vertical="center"/>
    </xf>
    <xf numFmtId="41" fontId="3" fillId="16" borderId="0" xfId="0" applyNumberFormat="1" applyFont="1" applyFill="1" applyAlignment="1">
      <alignment horizontal="center" vertical="center"/>
    </xf>
    <xf numFmtId="164" fontId="3" fillId="8" borderId="0" xfId="1" applyNumberFormat="1" applyFont="1" applyFill="1" applyAlignment="1">
      <alignment horizontal="center" vertical="center"/>
    </xf>
  </cellXfs>
  <cellStyles count="8">
    <cellStyle name="Comma" xfId="1" builtinId="3"/>
    <cellStyle name="Comma [0]" xfId="2" builtinId="6"/>
    <cellStyle name="Hyperlink" xfId="7" builtinId="8"/>
    <cellStyle name="Normal" xfId="0" builtinId="0"/>
    <cellStyle name="Normal 2" xfId="4"/>
    <cellStyle name="Normal 4" xfId="5"/>
    <cellStyle name="Normal 5" xfId="6"/>
    <cellStyle name="Percent" xfId="3" builtinId="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CE531"/>
  <sheetViews>
    <sheetView tabSelected="1" zoomScale="80" zoomScaleNormal="80" workbookViewId="0">
      <selection activeCell="AF17" sqref="AF17"/>
    </sheetView>
  </sheetViews>
  <sheetFormatPr defaultColWidth="9.109375" defaultRowHeight="14.4"/>
  <cols>
    <col min="1" max="1" width="11.6640625" style="24" bestFit="1" customWidth="1"/>
    <col min="2" max="2" width="5.109375" style="107" customWidth="1"/>
    <col min="3" max="3" width="10.88671875" style="26" customWidth="1"/>
    <col min="4" max="4" width="7.6640625" style="26" customWidth="1"/>
    <col min="5" max="5" width="13.109375" style="26" customWidth="1"/>
    <col min="6" max="6" width="10.5546875" style="25" customWidth="1"/>
    <col min="7" max="7" width="9.109375" style="26" customWidth="1"/>
    <col min="8" max="8" width="45.88671875" style="26" customWidth="1"/>
    <col min="9" max="9" width="31.44140625" style="26" customWidth="1"/>
    <col min="10" max="10" width="14.33203125" style="82" customWidth="1"/>
    <col min="11" max="11" width="13.33203125" style="26" customWidth="1"/>
    <col min="12" max="12" width="12.44140625" style="81" customWidth="1"/>
    <col min="13" max="15" width="12.44140625" style="26" customWidth="1"/>
    <col min="16" max="16" width="18.33203125" style="92" customWidth="1"/>
    <col min="17" max="17" width="88.6640625" style="81" customWidth="1"/>
    <col min="18" max="18" width="10.33203125" style="28" customWidth="1"/>
    <col min="19" max="19" width="17.109375" style="26" customWidth="1"/>
    <col min="20" max="20" width="11.33203125" style="26" customWidth="1"/>
    <col min="21" max="21" width="12" style="26" customWidth="1"/>
    <col min="22" max="22" width="7.6640625" style="26" customWidth="1"/>
    <col min="23" max="23" width="12.109375" style="26" customWidth="1"/>
    <col min="24" max="24" width="10" style="30" customWidth="1"/>
    <col min="25" max="25" width="12.33203125" style="26" customWidth="1"/>
    <col min="26" max="26" width="9.6640625" style="26" customWidth="1"/>
    <col min="27" max="27" width="8.6640625" style="26" customWidth="1"/>
    <col min="28" max="28" width="30.21875" style="24" bestFit="1" customWidth="1"/>
    <col min="29" max="31" width="12.5546875" style="107" bestFit="1" customWidth="1"/>
    <col min="32" max="32" width="12.109375" style="107" bestFit="1" customWidth="1"/>
    <col min="33" max="33" width="9.109375" style="107"/>
    <col min="34" max="34" width="12.5546875" style="107" bestFit="1" customWidth="1"/>
    <col min="35" max="35" width="11.5546875" style="107" bestFit="1" customWidth="1"/>
    <col min="36" max="36" width="12.5546875" style="107" bestFit="1" customWidth="1"/>
    <col min="37" max="37" width="9.109375" style="107"/>
    <col min="38" max="48" width="12.5546875" style="107" bestFit="1" customWidth="1"/>
    <col min="49" max="51" width="9.109375" style="107"/>
    <col min="52" max="55" width="12.5546875" style="107" bestFit="1" customWidth="1"/>
    <col min="56" max="59" width="9.109375" style="107"/>
    <col min="60" max="63" width="12.5546875" style="107" bestFit="1" customWidth="1"/>
    <col min="64" max="65" width="9.109375" style="107"/>
    <col min="66" max="66" width="12.5546875" style="107" bestFit="1" customWidth="1"/>
    <col min="67" max="76" width="9.109375" style="107"/>
    <col min="77" max="83" width="9.109375" style="24"/>
    <col min="84" max="16384" width="9.109375" style="26"/>
  </cols>
  <sheetData>
    <row r="1" spans="1:83">
      <c r="V1" s="29"/>
    </row>
    <row r="2" spans="1:83">
      <c r="B2" s="75" t="s">
        <v>0</v>
      </c>
      <c r="P2" s="93"/>
      <c r="R2" s="74"/>
      <c r="X2" s="76" t="e">
        <f>AVERAGE(X13:X514)</f>
        <v>#DIV/0!</v>
      </c>
      <c r="Z2" s="72">
        <v>4008</v>
      </c>
      <c r="AC2" s="108"/>
      <c r="AD2" s="108"/>
      <c r="AE2" s="108"/>
      <c r="AF2" s="108"/>
      <c r="AG2" s="186" t="s">
        <v>1439</v>
      </c>
      <c r="AH2" s="186"/>
      <c r="AI2" s="186"/>
      <c r="AJ2" s="186"/>
      <c r="AK2" s="185" t="s">
        <v>1440</v>
      </c>
      <c r="AL2" s="185"/>
      <c r="AM2" s="185"/>
      <c r="AN2" s="185"/>
      <c r="AO2" s="186" t="s">
        <v>1441</v>
      </c>
      <c r="AP2" s="186"/>
      <c r="AQ2" s="186"/>
      <c r="AR2" s="186"/>
      <c r="AS2" s="129"/>
      <c r="AT2" s="185" t="s">
        <v>1442</v>
      </c>
      <c r="AU2" s="185"/>
      <c r="AV2" s="185"/>
      <c r="AW2" s="186" t="s">
        <v>1443</v>
      </c>
      <c r="AX2" s="186"/>
      <c r="AY2" s="186"/>
      <c r="AZ2" s="128"/>
      <c r="BA2" s="186" t="s">
        <v>1444</v>
      </c>
      <c r="BB2" s="186"/>
      <c r="BC2" s="186"/>
      <c r="BD2" s="185" t="s">
        <v>1445</v>
      </c>
      <c r="BE2" s="185"/>
      <c r="BF2" s="185"/>
      <c r="BG2" s="185"/>
      <c r="BH2" s="186" t="s">
        <v>1446</v>
      </c>
      <c r="BI2" s="186"/>
      <c r="BJ2" s="186"/>
      <c r="BK2" s="186"/>
      <c r="BL2" s="185" t="s">
        <v>1447</v>
      </c>
      <c r="BM2" s="185"/>
      <c r="BN2" s="185"/>
      <c r="BO2" s="185"/>
      <c r="BP2" s="186" t="s">
        <v>1448</v>
      </c>
      <c r="BQ2" s="186"/>
      <c r="BR2" s="186"/>
      <c r="BS2" s="186"/>
      <c r="BT2" s="185" t="s">
        <v>1449</v>
      </c>
      <c r="BU2" s="185"/>
      <c r="BV2" s="185"/>
      <c r="BW2" s="185"/>
      <c r="BX2" s="109"/>
    </row>
    <row r="3" spans="1:83" ht="25.95" customHeight="1">
      <c r="A3" s="31" t="s">
        <v>480</v>
      </c>
      <c r="B3" s="107" t="s">
        <v>1</v>
      </c>
      <c r="C3" s="107" t="s">
        <v>2</v>
      </c>
      <c r="D3" s="107" t="s">
        <v>3</v>
      </c>
      <c r="E3" s="107" t="s">
        <v>80</v>
      </c>
      <c r="F3" s="107">
        <f>SUM(F520:F1021)</f>
        <v>0</v>
      </c>
      <c r="G3" s="107" t="s">
        <v>4</v>
      </c>
      <c r="H3" s="107" t="s">
        <v>5</v>
      </c>
      <c r="I3" s="107" t="s">
        <v>6</v>
      </c>
      <c r="J3" s="83" t="s">
        <v>7</v>
      </c>
      <c r="K3" s="107" t="s">
        <v>8</v>
      </c>
      <c r="L3" s="107" t="s">
        <v>9</v>
      </c>
      <c r="M3" s="107" t="s">
        <v>10</v>
      </c>
      <c r="N3" s="107" t="s">
        <v>11</v>
      </c>
      <c r="O3" s="107" t="s">
        <v>12</v>
      </c>
      <c r="P3" s="92" t="s">
        <v>112</v>
      </c>
      <c r="Q3" s="107" t="s">
        <v>11</v>
      </c>
      <c r="R3" s="32" t="s">
        <v>13</v>
      </c>
      <c r="S3" s="32" t="s">
        <v>14</v>
      </c>
      <c r="T3" s="32" t="s">
        <v>15</v>
      </c>
      <c r="U3" s="33" t="s">
        <v>16</v>
      </c>
      <c r="V3" s="33" t="s">
        <v>17</v>
      </c>
      <c r="W3" s="33" t="s">
        <v>18</v>
      </c>
      <c r="X3" s="34" t="s">
        <v>19</v>
      </c>
      <c r="Y3" s="35" t="s">
        <v>20</v>
      </c>
      <c r="Z3" s="35" t="s">
        <v>21</v>
      </c>
      <c r="AA3" s="35"/>
      <c r="AC3" s="110" t="s">
        <v>1395</v>
      </c>
      <c r="AD3" s="80" t="s">
        <v>1394</v>
      </c>
      <c r="AE3" s="80" t="s">
        <v>1450</v>
      </c>
      <c r="AF3" s="111" t="s">
        <v>1451</v>
      </c>
      <c r="AG3" s="112" t="s">
        <v>1396</v>
      </c>
      <c r="AH3" s="113" t="s">
        <v>1452</v>
      </c>
      <c r="AI3" s="114" t="s">
        <v>1453</v>
      </c>
      <c r="AJ3" s="114" t="s">
        <v>1454</v>
      </c>
      <c r="AK3" s="115" t="s">
        <v>1455</v>
      </c>
      <c r="AL3" s="116" t="s">
        <v>1456</v>
      </c>
      <c r="AM3" s="117" t="s">
        <v>1457</v>
      </c>
      <c r="AN3" s="117" t="s">
        <v>1458</v>
      </c>
      <c r="AO3" s="118" t="s">
        <v>1459</v>
      </c>
      <c r="AP3" s="113" t="s">
        <v>1460</v>
      </c>
      <c r="AQ3" s="114" t="s">
        <v>1461</v>
      </c>
      <c r="AR3" s="118" t="s">
        <v>1462</v>
      </c>
      <c r="AS3" s="115" t="s">
        <v>1463</v>
      </c>
      <c r="AT3" s="116" t="s">
        <v>1464</v>
      </c>
      <c r="AU3" s="117" t="s">
        <v>1465</v>
      </c>
      <c r="AV3" s="117" t="s">
        <v>1466</v>
      </c>
      <c r="AW3" s="119" t="s">
        <v>1467</v>
      </c>
      <c r="AX3" s="120" t="s">
        <v>1468</v>
      </c>
      <c r="AY3" s="120" t="s">
        <v>1469</v>
      </c>
      <c r="AZ3" s="118" t="s">
        <v>1470</v>
      </c>
      <c r="BA3" s="113" t="s">
        <v>1471</v>
      </c>
      <c r="BB3" s="114" t="s">
        <v>1472</v>
      </c>
      <c r="BC3" s="114" t="s">
        <v>1473</v>
      </c>
      <c r="BD3" s="115" t="s">
        <v>1474</v>
      </c>
      <c r="BE3" s="116" t="s">
        <v>1475</v>
      </c>
      <c r="BF3" s="117" t="s">
        <v>1476</v>
      </c>
      <c r="BG3" s="117" t="s">
        <v>1477</v>
      </c>
      <c r="BH3" s="118" t="s">
        <v>1478</v>
      </c>
      <c r="BI3" s="113" t="s">
        <v>1479</v>
      </c>
      <c r="BJ3" s="114" t="s">
        <v>1480</v>
      </c>
      <c r="BK3" s="114" t="s">
        <v>1481</v>
      </c>
      <c r="BL3" s="115" t="s">
        <v>1482</v>
      </c>
      <c r="BM3" s="116" t="s">
        <v>1483</v>
      </c>
      <c r="BN3" s="117" t="s">
        <v>1484</v>
      </c>
      <c r="BO3" s="117" t="s">
        <v>1485</v>
      </c>
      <c r="BP3" s="118" t="s">
        <v>1486</v>
      </c>
      <c r="BQ3" s="113" t="s">
        <v>1487</v>
      </c>
      <c r="BR3" s="114" t="s">
        <v>1488</v>
      </c>
      <c r="BS3" s="114" t="s">
        <v>1489</v>
      </c>
      <c r="BT3" s="115" t="s">
        <v>1490</v>
      </c>
      <c r="BU3" s="116" t="s">
        <v>1491</v>
      </c>
      <c r="BV3" s="117" t="s">
        <v>1492</v>
      </c>
      <c r="BW3" s="117" t="s">
        <v>1493</v>
      </c>
      <c r="BX3" s="121" t="s">
        <v>1494</v>
      </c>
    </row>
    <row r="4" spans="1:83" s="63" customFormat="1" ht="21.6" customHeight="1">
      <c r="A4" s="130"/>
      <c r="B4" s="8">
        <v>148</v>
      </c>
      <c r="C4" s="49" t="s">
        <v>123</v>
      </c>
      <c r="D4" s="49" t="str">
        <f>REPLACE(C4,1,3, )</f>
        <v xml:space="preserve"> 961</v>
      </c>
      <c r="E4" s="6" t="s">
        <v>123</v>
      </c>
      <c r="F4" s="11">
        <f>IF(C4=E4,0,1)</f>
        <v>0</v>
      </c>
      <c r="G4" s="11" t="s">
        <v>298</v>
      </c>
      <c r="H4" s="11" t="s">
        <v>300</v>
      </c>
      <c r="I4" s="11" t="s">
        <v>328</v>
      </c>
      <c r="J4" s="19">
        <v>93000</v>
      </c>
      <c r="K4" s="131">
        <f>J4-M4</f>
        <v>6950</v>
      </c>
      <c r="L4" s="11" t="s">
        <v>23</v>
      </c>
      <c r="M4" s="14">
        <f>J4-N4</f>
        <v>86050</v>
      </c>
      <c r="N4" s="14">
        <f>2000+200+600+750+3000+400</f>
        <v>6950</v>
      </c>
      <c r="O4" s="14">
        <f>M4+N4</f>
        <v>93000</v>
      </c>
      <c r="P4" s="132"/>
      <c r="Q4" s="3" t="s">
        <v>467</v>
      </c>
      <c r="R4" s="133"/>
      <c r="S4" s="133">
        <f>R4+O4</f>
        <v>93000</v>
      </c>
      <c r="T4" s="133">
        <f>S4/0.7</f>
        <v>132857.14285714287</v>
      </c>
      <c r="U4" s="134">
        <f>T4/0.875</f>
        <v>151836.73469387757</v>
      </c>
      <c r="V4" s="135">
        <f>(U4-T4)/U4</f>
        <v>0.12500000000000006</v>
      </c>
      <c r="W4" s="134">
        <f>(ROUNDUP((U4/100),0))*100</f>
        <v>151900</v>
      </c>
      <c r="X4" s="136">
        <f>(T4-O4)/T4</f>
        <v>0.30000000000000004</v>
      </c>
      <c r="Y4" s="137"/>
      <c r="Z4" s="137"/>
      <c r="AA4" s="137"/>
      <c r="AB4" s="138"/>
      <c r="AC4" s="187"/>
      <c r="BY4" s="174"/>
      <c r="BZ4" s="174"/>
      <c r="CA4" s="174"/>
      <c r="CB4" s="174"/>
      <c r="CC4" s="174"/>
      <c r="CD4" s="174"/>
      <c r="CE4" s="174"/>
    </row>
    <row r="5" spans="1:83" ht="14.4" customHeight="1">
      <c r="B5" s="4">
        <v>149</v>
      </c>
      <c r="C5" s="5" t="s">
        <v>1372</v>
      </c>
      <c r="D5" s="5" t="str">
        <f>REPLACE(C5,1,3, )</f>
        <v xml:space="preserve"> 191</v>
      </c>
      <c r="E5" s="6" t="s">
        <v>1372</v>
      </c>
      <c r="F5" s="7">
        <f>IF(C5=E5,0,1)</f>
        <v>0</v>
      </c>
      <c r="G5" s="7" t="s">
        <v>20</v>
      </c>
      <c r="H5" s="11" t="s">
        <v>300</v>
      </c>
      <c r="I5" s="11" t="s">
        <v>328</v>
      </c>
      <c r="J5" s="19"/>
      <c r="K5" s="13">
        <f>J5-M5</f>
        <v>0</v>
      </c>
      <c r="L5" s="7"/>
      <c r="M5" s="14">
        <f>J5-N5</f>
        <v>0</v>
      </c>
      <c r="N5" s="14"/>
      <c r="O5" s="39">
        <f>M5+N5</f>
        <v>0</v>
      </c>
      <c r="P5" s="95"/>
      <c r="Q5" s="3"/>
      <c r="R5" s="36"/>
      <c r="S5" s="36">
        <f>R5+O5</f>
        <v>0</v>
      </c>
      <c r="T5" s="36">
        <f>S5/0.7</f>
        <v>0</v>
      </c>
      <c r="U5" s="40">
        <f>T5/0.875</f>
        <v>0</v>
      </c>
      <c r="V5" s="41" t="e">
        <f>(U5-T5)/U5</f>
        <v>#DIV/0!</v>
      </c>
      <c r="W5" s="40">
        <f>(ROUNDUP((U5/100),0))*100</f>
        <v>0</v>
      </c>
      <c r="X5" s="42" t="e">
        <f>(T5-O5)/T5</f>
        <v>#DIV/0!</v>
      </c>
      <c r="Y5" s="45">
        <v>128625</v>
      </c>
      <c r="Z5" s="46">
        <f>T5-Y5</f>
        <v>-128625</v>
      </c>
      <c r="AA5" s="47">
        <f>Z5/Y5</f>
        <v>-1</v>
      </c>
      <c r="AB5" s="60"/>
    </row>
    <row r="6" spans="1:83" ht="14.4" customHeight="1">
      <c r="B6" s="4">
        <v>150</v>
      </c>
      <c r="C6" s="5" t="s">
        <v>949</v>
      </c>
      <c r="D6" s="5" t="str">
        <f>REPLACE(C6,1,3, )</f>
        <v xml:space="preserve"> 871</v>
      </c>
      <c r="E6" s="6" t="s">
        <v>949</v>
      </c>
      <c r="F6" s="7">
        <f>IF(C6=E6,0,1)</f>
        <v>0</v>
      </c>
      <c r="G6" s="7" t="s">
        <v>298</v>
      </c>
      <c r="H6" s="11" t="s">
        <v>300</v>
      </c>
      <c r="I6" s="11" t="s">
        <v>341</v>
      </c>
      <c r="J6" s="19"/>
      <c r="K6" s="13">
        <f>J6-M6</f>
        <v>0</v>
      </c>
      <c r="L6" s="7"/>
      <c r="M6" s="14">
        <f>J6-N6</f>
        <v>0</v>
      </c>
      <c r="N6" s="14"/>
      <c r="O6" s="39">
        <f>M6+N6</f>
        <v>0</v>
      </c>
      <c r="P6" s="95"/>
      <c r="Q6" s="3"/>
      <c r="R6" s="36"/>
      <c r="S6" s="36">
        <f>R6+O6</f>
        <v>0</v>
      </c>
      <c r="T6" s="36">
        <f>S6/0.7</f>
        <v>0</v>
      </c>
      <c r="U6" s="40">
        <f>T6/0.875</f>
        <v>0</v>
      </c>
      <c r="V6" s="41" t="e">
        <f>(U6-T6)/U6</f>
        <v>#DIV/0!</v>
      </c>
      <c r="W6" s="40">
        <f>(ROUNDUP((U6/100),0))*100</f>
        <v>0</v>
      </c>
      <c r="X6" s="42" t="e">
        <f>(T6-O6)/T6</f>
        <v>#DIV/0!</v>
      </c>
      <c r="Y6" s="43"/>
      <c r="Z6" s="43"/>
      <c r="AA6" s="43"/>
      <c r="AB6" s="59"/>
    </row>
    <row r="7" spans="1:83" ht="14.4" customHeight="1">
      <c r="B7" s="4">
        <v>151</v>
      </c>
      <c r="C7" s="5" t="s">
        <v>951</v>
      </c>
      <c r="D7" s="5" t="str">
        <f>REPLACE(C7,1,3, )</f>
        <v xml:space="preserve"> 489</v>
      </c>
      <c r="E7" s="6" t="s">
        <v>951</v>
      </c>
      <c r="F7" s="7">
        <f>IF(C7=E7,0,1)</f>
        <v>0</v>
      </c>
      <c r="G7" s="7" t="s">
        <v>20</v>
      </c>
      <c r="H7" s="11" t="s">
        <v>300</v>
      </c>
      <c r="I7" s="11" t="s">
        <v>491</v>
      </c>
      <c r="J7" s="19"/>
      <c r="K7" s="13">
        <f>J7-M7</f>
        <v>0</v>
      </c>
      <c r="L7" s="7"/>
      <c r="M7" s="14">
        <f>J7-N7</f>
        <v>0</v>
      </c>
      <c r="N7" s="14"/>
      <c r="O7" s="39">
        <f>M7+N7</f>
        <v>0</v>
      </c>
      <c r="P7" s="95"/>
      <c r="Q7" s="3"/>
      <c r="R7" s="36"/>
      <c r="S7" s="36">
        <f>R7+O7</f>
        <v>0</v>
      </c>
      <c r="T7" s="36">
        <f>S7/0.7</f>
        <v>0</v>
      </c>
      <c r="U7" s="40">
        <f>T7/0.875</f>
        <v>0</v>
      </c>
      <c r="V7" s="41" t="e">
        <f>(U7-T7)/U7</f>
        <v>#DIV/0!</v>
      </c>
      <c r="W7" s="40">
        <f>(ROUNDUP((U7/100),0))*100</f>
        <v>0</v>
      </c>
      <c r="X7" s="42" t="e">
        <f>(T7-O7)/T7</f>
        <v>#DIV/0!</v>
      </c>
      <c r="Y7" s="45">
        <v>128625</v>
      </c>
      <c r="Z7" s="46">
        <f>T7-Y7</f>
        <v>-128625</v>
      </c>
      <c r="AA7" s="47">
        <f>Z7/Y7</f>
        <v>-1</v>
      </c>
      <c r="AB7" s="159" t="s">
        <v>1513</v>
      </c>
      <c r="AC7" s="160">
        <v>128529.76190476194</v>
      </c>
      <c r="AD7" s="146">
        <v>122478.57142857143</v>
      </c>
      <c r="AE7" s="147">
        <v>116984</v>
      </c>
      <c r="AF7" s="148">
        <v>4.9406115744250904E-2</v>
      </c>
      <c r="AG7" s="149"/>
      <c r="AH7" s="150">
        <v>108115.23809523815</v>
      </c>
      <c r="AI7" s="146">
        <v>93721.42857142858</v>
      </c>
      <c r="AJ7" s="146">
        <v>103360</v>
      </c>
      <c r="AK7" s="151"/>
      <c r="AL7" s="155">
        <v>115657</v>
      </c>
      <c r="AM7" s="146">
        <v>112577.14285714287</v>
      </c>
      <c r="AN7" s="146">
        <v>108800</v>
      </c>
      <c r="AO7" s="151">
        <v>147475</v>
      </c>
      <c r="AP7" s="156">
        <v>138960</v>
      </c>
      <c r="AQ7" s="146">
        <v>136350</v>
      </c>
      <c r="AR7" s="146">
        <v>136350</v>
      </c>
      <c r="AS7" s="151">
        <v>144854</v>
      </c>
      <c r="AT7" s="156">
        <v>133971</v>
      </c>
      <c r="AU7" s="146">
        <v>132492.85714285716</v>
      </c>
      <c r="AV7" s="146">
        <v>132413</v>
      </c>
      <c r="AW7" s="158"/>
      <c r="AX7" s="151"/>
      <c r="AY7" s="151"/>
      <c r="AZ7" s="151">
        <v>125280</v>
      </c>
      <c r="BA7" s="156">
        <v>125728</v>
      </c>
      <c r="BB7" s="146">
        <v>122250</v>
      </c>
      <c r="BC7" s="146">
        <v>119009</v>
      </c>
      <c r="BD7" s="151"/>
      <c r="BE7" s="149"/>
      <c r="BF7" s="151"/>
      <c r="BG7" s="151"/>
      <c r="BH7" s="151">
        <v>144417</v>
      </c>
      <c r="BI7" s="156">
        <v>140090</v>
      </c>
      <c r="BJ7" s="146">
        <v>126000.00000000001</v>
      </c>
      <c r="BK7" s="146">
        <v>120813</v>
      </c>
      <c r="BL7" s="151"/>
      <c r="BM7" s="158"/>
      <c r="BN7" s="146">
        <v>124930.00000000001</v>
      </c>
      <c r="BO7" s="151"/>
      <c r="BP7" s="151"/>
      <c r="BQ7" s="149"/>
      <c r="BR7" s="151"/>
      <c r="BS7" s="151"/>
      <c r="BT7" s="151"/>
      <c r="BU7" s="149"/>
      <c r="BV7" s="151"/>
      <c r="BW7" s="151"/>
      <c r="BX7" s="153"/>
    </row>
    <row r="8" spans="1:83" ht="14.4" customHeight="1">
      <c r="B8" s="4">
        <v>454</v>
      </c>
      <c r="C8" s="5" t="s">
        <v>68</v>
      </c>
      <c r="D8" s="5" t="str">
        <f>REPLACE(C8,1,3, )</f>
        <v xml:space="preserve"> 973</v>
      </c>
      <c r="E8" s="6" t="s">
        <v>68</v>
      </c>
      <c r="F8" s="7">
        <f>IF(C8=E8,0,1)</f>
        <v>0</v>
      </c>
      <c r="G8" s="11" t="s">
        <v>20</v>
      </c>
      <c r="H8" s="11" t="s">
        <v>306</v>
      </c>
      <c r="I8" s="11" t="s">
        <v>331</v>
      </c>
      <c r="J8" s="12">
        <f>M8</f>
        <v>58000</v>
      </c>
      <c r="K8" s="13">
        <f>J8-M8</f>
        <v>0</v>
      </c>
      <c r="L8" s="17" t="s">
        <v>22</v>
      </c>
      <c r="M8" s="20">
        <v>58000</v>
      </c>
      <c r="N8" s="14">
        <f>2000+200+250+600+3600</f>
        <v>6650</v>
      </c>
      <c r="O8" s="39">
        <f>M8+N8</f>
        <v>64650</v>
      </c>
      <c r="P8" s="96"/>
      <c r="Q8" s="3" t="s">
        <v>383</v>
      </c>
      <c r="R8" s="36"/>
      <c r="S8" s="36">
        <f>R8+O8</f>
        <v>64650</v>
      </c>
      <c r="T8" s="36">
        <f>S8/0.7</f>
        <v>92357.14285714287</v>
      </c>
      <c r="U8" s="40">
        <f>T8/0.875</f>
        <v>105551.02040816328</v>
      </c>
      <c r="V8" s="41">
        <f>(U8-T8)/U8</f>
        <v>0.12500000000000003</v>
      </c>
      <c r="W8" s="40">
        <f>(ROUNDUP((U8/100),0))*100</f>
        <v>105600</v>
      </c>
      <c r="X8" s="42">
        <f>(T8-O8)/T8</f>
        <v>0.3000000000000001</v>
      </c>
      <c r="Y8" s="45">
        <v>88200</v>
      </c>
      <c r="Z8" s="46">
        <f>T8-Y8</f>
        <v>4157.1428571428696</v>
      </c>
      <c r="AA8" s="47">
        <f>Z8/Y8</f>
        <v>4.7133138969873804E-2</v>
      </c>
      <c r="AB8" s="60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</row>
    <row r="9" spans="1:83" ht="14.4" customHeight="1">
      <c r="B9" s="4">
        <v>455</v>
      </c>
      <c r="C9" s="38" t="s">
        <v>768</v>
      </c>
      <c r="D9" s="5" t="str">
        <f>REPLACE(C9,1,3, )</f>
        <v xml:space="preserve"> 137</v>
      </c>
      <c r="E9" s="6" t="s">
        <v>768</v>
      </c>
      <c r="F9" s="7">
        <f>IF(C9=E9,0,1)</f>
        <v>0</v>
      </c>
      <c r="G9" s="8" t="s">
        <v>298</v>
      </c>
      <c r="H9" s="8" t="s">
        <v>306</v>
      </c>
      <c r="I9" s="8" t="s">
        <v>769</v>
      </c>
      <c r="J9" s="12">
        <f>M9</f>
        <v>52500</v>
      </c>
      <c r="K9" s="183">
        <f>J9-M9</f>
        <v>0</v>
      </c>
      <c r="L9" s="17" t="s">
        <v>22</v>
      </c>
      <c r="M9" s="18">
        <v>52500</v>
      </c>
      <c r="N9" s="15">
        <f>2000+200+250+600+3600</f>
        <v>6650</v>
      </c>
      <c r="O9" s="39">
        <f>M9+N9</f>
        <v>59150</v>
      </c>
      <c r="P9" s="96"/>
      <c r="Q9" s="77" t="s">
        <v>1540</v>
      </c>
      <c r="R9" s="36"/>
      <c r="S9" s="36">
        <f>R9+O9</f>
        <v>59150</v>
      </c>
      <c r="T9" s="36">
        <f>S9/0.7</f>
        <v>84500</v>
      </c>
      <c r="U9" s="40">
        <f>T9/0.875</f>
        <v>96571.428571428565</v>
      </c>
      <c r="V9" s="41">
        <f>(U9-T9)/U9</f>
        <v>0.12499999999999994</v>
      </c>
      <c r="W9" s="40">
        <f>(ROUNDUP((U9/100),0))*100</f>
        <v>96600</v>
      </c>
      <c r="X9" s="42">
        <f>(T9-O9)/T9</f>
        <v>0.3</v>
      </c>
      <c r="Y9" s="45"/>
      <c r="Z9" s="46"/>
      <c r="AA9" s="47"/>
      <c r="AB9" s="60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</row>
    <row r="10" spans="1:83" ht="14.4" customHeight="1">
      <c r="B10" s="4">
        <v>456</v>
      </c>
      <c r="C10" s="5" t="s">
        <v>181</v>
      </c>
      <c r="D10" s="5" t="str">
        <f>REPLACE(C10,1,3, )</f>
        <v xml:space="preserve"> 498</v>
      </c>
      <c r="E10" s="6" t="s">
        <v>181</v>
      </c>
      <c r="F10" s="7">
        <f>IF(C10=E10,0,1)</f>
        <v>0</v>
      </c>
      <c r="G10" s="11" t="s">
        <v>298</v>
      </c>
      <c r="H10" s="11" t="s">
        <v>306</v>
      </c>
      <c r="I10" s="11" t="s">
        <v>342</v>
      </c>
      <c r="J10" s="12">
        <v>50000</v>
      </c>
      <c r="K10" s="13">
        <f>J10-M10</f>
        <v>6650</v>
      </c>
      <c r="L10" s="7" t="s">
        <v>23</v>
      </c>
      <c r="M10" s="14">
        <f>J10-N10</f>
        <v>43350</v>
      </c>
      <c r="N10" s="14">
        <f>2000+200+600+250+3600</f>
        <v>6650</v>
      </c>
      <c r="O10" s="39">
        <f>M10+N10</f>
        <v>50000</v>
      </c>
      <c r="P10" s="95"/>
      <c r="Q10" s="3" t="s">
        <v>402</v>
      </c>
      <c r="R10" s="36">
        <v>5000</v>
      </c>
      <c r="S10" s="36">
        <f>R10+O10</f>
        <v>55000</v>
      </c>
      <c r="T10" s="36">
        <f>S10/0.7</f>
        <v>78571.42857142858</v>
      </c>
      <c r="U10" s="40">
        <f>T10/0.875</f>
        <v>89795.918367346952</v>
      </c>
      <c r="V10" s="41">
        <f>(U10-T10)/U10</f>
        <v>0.12500000000000003</v>
      </c>
      <c r="W10" s="40">
        <f>(ROUNDUP((U10/100),0))*100</f>
        <v>89800</v>
      </c>
      <c r="X10" s="42">
        <f>(T10-O10)/T10</f>
        <v>0.3636363636363637</v>
      </c>
      <c r="Y10" s="43"/>
      <c r="Z10" s="43"/>
      <c r="AA10" s="43"/>
      <c r="AB10" s="59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</row>
    <row r="11" spans="1:83" ht="14.4" customHeight="1">
      <c r="B11" s="4">
        <v>458</v>
      </c>
      <c r="C11" s="5" t="s">
        <v>180</v>
      </c>
      <c r="D11" s="5" t="str">
        <f>REPLACE(C11,1,3, )</f>
        <v xml:space="preserve"> 540</v>
      </c>
      <c r="E11" s="6" t="s">
        <v>180</v>
      </c>
      <c r="F11" s="7">
        <f>IF(C11=E11,0,1)</f>
        <v>0</v>
      </c>
      <c r="G11" s="11" t="s">
        <v>298</v>
      </c>
      <c r="H11" s="11" t="s">
        <v>306</v>
      </c>
      <c r="I11" s="11" t="s">
        <v>342</v>
      </c>
      <c r="J11" s="12">
        <v>50000</v>
      </c>
      <c r="K11" s="13">
        <f>J11-M11</f>
        <v>6650</v>
      </c>
      <c r="L11" s="7" t="s">
        <v>23</v>
      </c>
      <c r="M11" s="14">
        <f>J11-N11</f>
        <v>43350</v>
      </c>
      <c r="N11" s="14">
        <f>2000+200+600+250+3600</f>
        <v>6650</v>
      </c>
      <c r="O11" s="39">
        <f>M11+N11</f>
        <v>50000</v>
      </c>
      <c r="P11" s="95"/>
      <c r="Q11" s="3" t="s">
        <v>402</v>
      </c>
      <c r="R11" s="36">
        <v>5000</v>
      </c>
      <c r="S11" s="36">
        <f>R11+O11</f>
        <v>55000</v>
      </c>
      <c r="T11" s="36">
        <f>S11/0.7</f>
        <v>78571.42857142858</v>
      </c>
      <c r="U11" s="40">
        <f>T11/0.875</f>
        <v>89795.918367346952</v>
      </c>
      <c r="V11" s="41">
        <f>(U11-T11)/U11</f>
        <v>0.12500000000000003</v>
      </c>
      <c r="W11" s="40">
        <f>(ROUNDUP((U11/100),0))*100</f>
        <v>89800</v>
      </c>
      <c r="X11" s="42">
        <f>(T11-O11)/T11</f>
        <v>0.3636363636363637</v>
      </c>
      <c r="Y11" s="43"/>
      <c r="Z11" s="43"/>
      <c r="AA11" s="43"/>
      <c r="AB11" s="59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83" ht="14.4" customHeight="1">
      <c r="B12" s="4">
        <v>459</v>
      </c>
      <c r="C12" s="38" t="s">
        <v>771</v>
      </c>
      <c r="D12" s="5" t="str">
        <f>REPLACE(C12,1,3, )</f>
        <v xml:space="preserve"> 964</v>
      </c>
      <c r="E12" s="6" t="s">
        <v>771</v>
      </c>
      <c r="F12" s="7">
        <f>IF(C12=E12,0,1)</f>
        <v>0</v>
      </c>
      <c r="G12" s="8" t="s">
        <v>20</v>
      </c>
      <c r="H12" s="8" t="s">
        <v>306</v>
      </c>
      <c r="I12" s="8" t="s">
        <v>772</v>
      </c>
      <c r="J12" s="87">
        <v>52000</v>
      </c>
      <c r="K12" s="87">
        <f>J12-M12</f>
        <v>6700</v>
      </c>
      <c r="L12" s="88" t="s">
        <v>23</v>
      </c>
      <c r="M12" s="87">
        <f>J12-N12</f>
        <v>45300</v>
      </c>
      <c r="N12" s="87">
        <f>2000+3450+800+200+250</f>
        <v>6700</v>
      </c>
      <c r="O12" s="101">
        <f>N12+M12</f>
        <v>52000</v>
      </c>
      <c r="P12" s="95"/>
      <c r="Q12" s="88" t="s">
        <v>1402</v>
      </c>
      <c r="R12" s="36"/>
      <c r="S12" s="36">
        <f>R12+O12</f>
        <v>52000</v>
      </c>
      <c r="T12" s="36">
        <f>S12/0.7</f>
        <v>74285.71428571429</v>
      </c>
      <c r="U12" s="40">
        <f>T12/0.875</f>
        <v>84897.959183673476</v>
      </c>
      <c r="V12" s="41">
        <f>(U12-T12)/U12</f>
        <v>0.12500000000000003</v>
      </c>
      <c r="W12" s="40">
        <f>(ROUNDUP((U12/100),0))*100</f>
        <v>84900</v>
      </c>
      <c r="X12" s="42">
        <f>(T12-O12)/T12</f>
        <v>0.30000000000000004</v>
      </c>
      <c r="Y12" s="45">
        <v>74288</v>
      </c>
      <c r="Z12" s="46">
        <f>T12-Y12</f>
        <v>-2.285714285710128</v>
      </c>
      <c r="AA12" s="47">
        <f>Z12/Y12</f>
        <v>-3.0768284052742408E-5</v>
      </c>
      <c r="AB12" s="60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</row>
    <row r="13" spans="1:83" ht="14.4" customHeight="1">
      <c r="B13" s="4">
        <v>460</v>
      </c>
      <c r="C13" s="5" t="s">
        <v>135</v>
      </c>
      <c r="D13" s="5" t="str">
        <f>REPLACE(C13,1,3, )</f>
        <v xml:space="preserve"> 493</v>
      </c>
      <c r="E13" s="6" t="s">
        <v>135</v>
      </c>
      <c r="F13" s="7">
        <f>IF(C13=E13,0,1)</f>
        <v>0</v>
      </c>
      <c r="G13" s="11" t="s">
        <v>298</v>
      </c>
      <c r="H13" s="11" t="s">
        <v>306</v>
      </c>
      <c r="I13" s="11" t="s">
        <v>331</v>
      </c>
      <c r="J13" s="12">
        <f>M13</f>
        <v>55000</v>
      </c>
      <c r="K13" s="13">
        <f>J13-M13</f>
        <v>0</v>
      </c>
      <c r="L13" s="17" t="s">
        <v>22</v>
      </c>
      <c r="M13" s="20">
        <v>55000</v>
      </c>
      <c r="N13" s="14">
        <f>2000+200+250+600+3600</f>
        <v>6650</v>
      </c>
      <c r="O13" s="39">
        <f>M13+N13</f>
        <v>61650</v>
      </c>
      <c r="P13" s="95"/>
      <c r="Q13" s="3" t="s">
        <v>379</v>
      </c>
      <c r="R13" s="36"/>
      <c r="S13" s="36">
        <f>R13+O13</f>
        <v>61650</v>
      </c>
      <c r="T13" s="36">
        <f>S13/0.7</f>
        <v>88071.42857142858</v>
      </c>
      <c r="U13" s="40">
        <f>T13/0.875</f>
        <v>100653.06122448981</v>
      </c>
      <c r="V13" s="41">
        <f>(U13-T13)/U13</f>
        <v>0.12500000000000003</v>
      </c>
      <c r="W13" s="40">
        <f>(ROUNDUP((U13/100),0))*100</f>
        <v>100700</v>
      </c>
      <c r="X13" s="42">
        <f>(T13-O13)/T13</f>
        <v>0.30000000000000004</v>
      </c>
      <c r="Y13" s="43"/>
      <c r="Z13" s="43"/>
      <c r="AA13" s="44"/>
      <c r="AB13" s="60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83" ht="14.4" customHeight="1">
      <c r="B14" s="4">
        <v>461</v>
      </c>
      <c r="C14" s="5" t="s">
        <v>170</v>
      </c>
      <c r="D14" s="5" t="str">
        <f>REPLACE(C14,1,3, )</f>
        <v xml:space="preserve"> 985</v>
      </c>
      <c r="E14" s="6" t="s">
        <v>170</v>
      </c>
      <c r="F14" s="7">
        <f>IF(C14=E14,0,1)</f>
        <v>0</v>
      </c>
      <c r="G14" s="11" t="s">
        <v>298</v>
      </c>
      <c r="H14" s="11" t="s">
        <v>306</v>
      </c>
      <c r="I14" s="11" t="s">
        <v>340</v>
      </c>
      <c r="J14" s="12">
        <v>67000</v>
      </c>
      <c r="K14" s="13">
        <f>J14-M14</f>
        <v>6650</v>
      </c>
      <c r="L14" s="7" t="s">
        <v>23</v>
      </c>
      <c r="M14" s="14">
        <f>J14-N14</f>
        <v>60350</v>
      </c>
      <c r="N14" s="14">
        <f>2000+200+250+600+3600</f>
        <v>6650</v>
      </c>
      <c r="O14" s="39">
        <f>M14+N14</f>
        <v>67000</v>
      </c>
      <c r="P14" s="95"/>
      <c r="Q14" s="3" t="s">
        <v>397</v>
      </c>
      <c r="R14" s="36"/>
      <c r="S14" s="36">
        <f>R14+O14</f>
        <v>67000</v>
      </c>
      <c r="T14" s="36">
        <f>S14/0.7</f>
        <v>95714.285714285725</v>
      </c>
      <c r="U14" s="40">
        <f>T14/0.875</f>
        <v>109387.75510204083</v>
      </c>
      <c r="V14" s="41">
        <f>(U14-T14)/U14</f>
        <v>0.125</v>
      </c>
      <c r="W14" s="40">
        <f>(ROUNDUP((U14/100),0))*100</f>
        <v>109400</v>
      </c>
      <c r="X14" s="42">
        <f>(T14-O14)/T14</f>
        <v>0.3000000000000001</v>
      </c>
      <c r="Y14" s="43"/>
      <c r="Z14" s="43"/>
      <c r="AA14" s="43"/>
      <c r="AB14" s="59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</row>
    <row r="15" spans="1:83" ht="14.4" customHeight="1">
      <c r="B15" s="4">
        <v>462</v>
      </c>
      <c r="C15" s="5" t="s">
        <v>171</v>
      </c>
      <c r="D15" s="5" t="str">
        <f>REPLACE(C15,1,3, )</f>
        <v xml:space="preserve"> 935</v>
      </c>
      <c r="E15" s="6" t="s">
        <v>171</v>
      </c>
      <c r="F15" s="7">
        <f>IF(C15=E15,0,1)</f>
        <v>0</v>
      </c>
      <c r="G15" s="11" t="s">
        <v>298</v>
      </c>
      <c r="H15" s="11" t="s">
        <v>306</v>
      </c>
      <c r="I15" s="11" t="s">
        <v>340</v>
      </c>
      <c r="J15" s="12">
        <v>49000</v>
      </c>
      <c r="K15" s="13">
        <f>J15-M15</f>
        <v>6650</v>
      </c>
      <c r="L15" s="7" t="s">
        <v>23</v>
      </c>
      <c r="M15" s="14">
        <f>J15-N15</f>
        <v>42350</v>
      </c>
      <c r="N15" s="14">
        <f>2000+200+250+600+3600</f>
        <v>6650</v>
      </c>
      <c r="O15" s="39">
        <f>M15+N15</f>
        <v>49000</v>
      </c>
      <c r="P15" s="95"/>
      <c r="Q15" s="3" t="s">
        <v>397</v>
      </c>
      <c r="R15" s="36"/>
      <c r="S15" s="36">
        <f>R15+O15</f>
        <v>49000</v>
      </c>
      <c r="T15" s="36">
        <f>S15/0.7</f>
        <v>70000</v>
      </c>
      <c r="U15" s="40">
        <f>T15/0.875</f>
        <v>80000</v>
      </c>
      <c r="V15" s="41">
        <f>(U15-T15)/U15</f>
        <v>0.125</v>
      </c>
      <c r="W15" s="40">
        <f>(ROUNDUP((U15/100),0))*100</f>
        <v>80000</v>
      </c>
      <c r="X15" s="42">
        <f>(T15-O15)/T15</f>
        <v>0.3</v>
      </c>
      <c r="Y15" s="43"/>
      <c r="Z15" s="43"/>
      <c r="AA15" s="44"/>
      <c r="AB15" s="60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</row>
    <row r="16" spans="1:83" ht="14.4" customHeight="1">
      <c r="B16" s="4">
        <v>463</v>
      </c>
      <c r="C16" s="5" t="s">
        <v>69</v>
      </c>
      <c r="D16" s="5" t="str">
        <f>REPLACE(C16,1,3, )</f>
        <v xml:space="preserve"> 472</v>
      </c>
      <c r="E16" s="6" t="s">
        <v>69</v>
      </c>
      <c r="F16" s="7">
        <f>IF(C16=E16,0,1)</f>
        <v>0</v>
      </c>
      <c r="G16" s="11" t="s">
        <v>20</v>
      </c>
      <c r="H16" s="11" t="s">
        <v>306</v>
      </c>
      <c r="I16" s="11" t="s">
        <v>340</v>
      </c>
      <c r="J16" s="12">
        <v>54000</v>
      </c>
      <c r="K16" s="13">
        <f>J16-M16</f>
        <v>6650</v>
      </c>
      <c r="L16" s="7" t="s">
        <v>23</v>
      </c>
      <c r="M16" s="14">
        <f>J16-N16</f>
        <v>47350</v>
      </c>
      <c r="N16" s="14">
        <f>2000+200+250+600+3600</f>
        <v>6650</v>
      </c>
      <c r="O16" s="39">
        <f>M16+N16</f>
        <v>54000</v>
      </c>
      <c r="P16" s="95"/>
      <c r="Q16" s="3" t="s">
        <v>397</v>
      </c>
      <c r="R16" s="36"/>
      <c r="S16" s="36">
        <f>R16+O16</f>
        <v>54000</v>
      </c>
      <c r="T16" s="36">
        <f>S16/0.7</f>
        <v>77142.857142857145</v>
      </c>
      <c r="U16" s="40">
        <f>T16/0.875</f>
        <v>88163.265306122456</v>
      </c>
      <c r="V16" s="41">
        <f>(U16-T16)/U16</f>
        <v>0.12500000000000003</v>
      </c>
      <c r="W16" s="40">
        <f>(ROUNDUP((U16/100),0))*100</f>
        <v>88200</v>
      </c>
      <c r="X16" s="42">
        <f>(T16-O16)/T16</f>
        <v>0.30000000000000004</v>
      </c>
      <c r="Y16" s="45">
        <v>75075</v>
      </c>
      <c r="Z16" s="46">
        <f>T16-Y16</f>
        <v>2067.8571428571449</v>
      </c>
      <c r="AA16" s="47">
        <f>Z16/Y16</f>
        <v>2.7543884686741859E-2</v>
      </c>
      <c r="AB16" s="60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</row>
    <row r="17" spans="2:76" ht="14.4" customHeight="1">
      <c r="B17" s="4">
        <v>465</v>
      </c>
      <c r="C17" s="5" t="s">
        <v>228</v>
      </c>
      <c r="D17" s="5" t="str">
        <f>REPLACE(C17,1,3, )</f>
        <v xml:space="preserve"> 308</v>
      </c>
      <c r="E17" s="6" t="s">
        <v>228</v>
      </c>
      <c r="F17" s="7">
        <f>IF(C17=E17,0,1)</f>
        <v>0</v>
      </c>
      <c r="G17" s="11" t="s">
        <v>298</v>
      </c>
      <c r="H17" s="11" t="s">
        <v>306</v>
      </c>
      <c r="I17" s="11" t="s">
        <v>356</v>
      </c>
      <c r="J17" s="12">
        <v>52650</v>
      </c>
      <c r="K17" s="13">
        <f>J17-M17</f>
        <v>6650</v>
      </c>
      <c r="L17" s="7" t="s">
        <v>23</v>
      </c>
      <c r="M17" s="14">
        <f>J17-N17</f>
        <v>46000</v>
      </c>
      <c r="N17" s="15">
        <f>2000+200+250+600+3600</f>
        <v>6650</v>
      </c>
      <c r="O17" s="39">
        <f>M17+N17</f>
        <v>52650</v>
      </c>
      <c r="P17" s="96"/>
      <c r="Q17" s="3" t="s">
        <v>397</v>
      </c>
      <c r="R17" s="36"/>
      <c r="S17" s="36">
        <f>R17+O17</f>
        <v>52650</v>
      </c>
      <c r="T17" s="36">
        <f>S17/0.7</f>
        <v>75214.285714285725</v>
      </c>
      <c r="U17" s="40">
        <f>T17/0.875</f>
        <v>85959.183673469393</v>
      </c>
      <c r="V17" s="41">
        <f>(U17-T17)/U17</f>
        <v>0.12499999999999993</v>
      </c>
      <c r="W17" s="40">
        <f>(ROUNDUP((U17/100),0))*100</f>
        <v>86000</v>
      </c>
      <c r="X17" s="42">
        <f>(T17-O17)/T17</f>
        <v>0.3000000000000001</v>
      </c>
      <c r="Y17" s="43"/>
      <c r="Z17" s="43"/>
      <c r="AA17" s="44"/>
      <c r="AB17" s="60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</row>
    <row r="18" spans="2:76" ht="14.4" customHeight="1">
      <c r="B18" s="4">
        <v>468</v>
      </c>
      <c r="C18" s="5" t="s">
        <v>172</v>
      </c>
      <c r="D18" s="5" t="str">
        <f>REPLACE(C18,1,3, )</f>
        <v xml:space="preserve"> 783</v>
      </c>
      <c r="E18" s="6" t="s">
        <v>172</v>
      </c>
      <c r="F18" s="7">
        <f>IF(C18=E18,0,1)</f>
        <v>0</v>
      </c>
      <c r="G18" s="11" t="s">
        <v>298</v>
      </c>
      <c r="H18" s="11" t="s">
        <v>306</v>
      </c>
      <c r="I18" s="11" t="s">
        <v>340</v>
      </c>
      <c r="J18" s="12">
        <v>52500</v>
      </c>
      <c r="K18" s="13">
        <f>J18-M18</f>
        <v>6650</v>
      </c>
      <c r="L18" s="7" t="s">
        <v>23</v>
      </c>
      <c r="M18" s="14">
        <f>J18-N18</f>
        <v>45850</v>
      </c>
      <c r="N18" s="14">
        <f>2000+200+250+600+3600</f>
        <v>6650</v>
      </c>
      <c r="O18" s="39">
        <f>M18+N18</f>
        <v>52500</v>
      </c>
      <c r="P18" s="94"/>
      <c r="Q18" s="3" t="s">
        <v>397</v>
      </c>
      <c r="R18" s="36"/>
      <c r="S18" s="36">
        <f>R18+O18</f>
        <v>52500</v>
      </c>
      <c r="T18" s="36">
        <f>S18/0.7</f>
        <v>75000</v>
      </c>
      <c r="U18" s="40">
        <f>T18/0.875</f>
        <v>85714.28571428571</v>
      </c>
      <c r="V18" s="41">
        <f>(U18-T18)/U18</f>
        <v>0.12499999999999996</v>
      </c>
      <c r="W18" s="40">
        <f>(ROUNDUP((U18/100),0))*100</f>
        <v>85800</v>
      </c>
      <c r="X18" s="42">
        <f>(T18-O18)/T18</f>
        <v>0.3</v>
      </c>
      <c r="Y18" s="43"/>
      <c r="Z18" s="43"/>
      <c r="AA18" s="43"/>
      <c r="AB18" s="59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</row>
    <row r="19" spans="2:76" ht="14.4" customHeight="1">
      <c r="B19" s="4">
        <v>470</v>
      </c>
      <c r="C19" s="5" t="s">
        <v>231</v>
      </c>
      <c r="D19" s="5" t="str">
        <f>REPLACE(C19,1,3, )</f>
        <v xml:space="preserve"> 458</v>
      </c>
      <c r="E19" s="6" t="s">
        <v>231</v>
      </c>
      <c r="F19" s="7">
        <f>IF(C19=E19,0,1)</f>
        <v>0</v>
      </c>
      <c r="G19" s="11" t="s">
        <v>298</v>
      </c>
      <c r="H19" s="11" t="s">
        <v>306</v>
      </c>
      <c r="I19" s="11" t="s">
        <v>356</v>
      </c>
      <c r="J19" s="12">
        <v>46650</v>
      </c>
      <c r="K19" s="13">
        <f>J19-M19</f>
        <v>6650</v>
      </c>
      <c r="L19" s="7" t="s">
        <v>23</v>
      </c>
      <c r="M19" s="14">
        <f>J19-N19</f>
        <v>40000</v>
      </c>
      <c r="N19" s="15">
        <f>2000+200+250+600+3600</f>
        <v>6650</v>
      </c>
      <c r="O19" s="39">
        <f>M19+N19</f>
        <v>46650</v>
      </c>
      <c r="P19" s="95"/>
      <c r="Q19" s="3" t="s">
        <v>397</v>
      </c>
      <c r="R19" s="36"/>
      <c r="S19" s="36">
        <f>R19+O19</f>
        <v>46650</v>
      </c>
      <c r="T19" s="36">
        <f>S19/0.7</f>
        <v>66642.857142857145</v>
      </c>
      <c r="U19" s="40">
        <f>T19/0.875</f>
        <v>76163.265306122456</v>
      </c>
      <c r="V19" s="41">
        <f>(U19-T19)/U19</f>
        <v>0.12500000000000006</v>
      </c>
      <c r="W19" s="40">
        <f>(ROUNDUP((U19/100),0))*100</f>
        <v>76200</v>
      </c>
      <c r="X19" s="42">
        <f>(T19-O19)/T19</f>
        <v>0.30000000000000004</v>
      </c>
      <c r="Y19" s="43"/>
      <c r="Z19" s="43"/>
      <c r="AA19" s="44"/>
      <c r="AB19" s="60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</row>
    <row r="20" spans="2:76" ht="14.4" customHeight="1">
      <c r="B20" s="4">
        <v>472</v>
      </c>
      <c r="C20" s="5" t="s">
        <v>173</v>
      </c>
      <c r="D20" s="5" t="str">
        <f>REPLACE(C20,1,3, )</f>
        <v xml:space="preserve"> 687</v>
      </c>
      <c r="E20" s="6" t="s">
        <v>173</v>
      </c>
      <c r="F20" s="7">
        <f>IF(C20=E20,0,1)</f>
        <v>0</v>
      </c>
      <c r="G20" s="11" t="s">
        <v>298</v>
      </c>
      <c r="H20" s="11" t="s">
        <v>306</v>
      </c>
      <c r="I20" s="11" t="s">
        <v>340</v>
      </c>
      <c r="J20" s="12">
        <v>52500</v>
      </c>
      <c r="K20" s="13">
        <f>J20-M20</f>
        <v>6650</v>
      </c>
      <c r="L20" s="7" t="s">
        <v>23</v>
      </c>
      <c r="M20" s="14">
        <f>J20-N20</f>
        <v>45850</v>
      </c>
      <c r="N20" s="14">
        <f>2000+200+250+600+3600</f>
        <v>6650</v>
      </c>
      <c r="O20" s="39">
        <f>M20+N20</f>
        <v>52500</v>
      </c>
      <c r="P20" s="95"/>
      <c r="Q20" s="3" t="s">
        <v>397</v>
      </c>
      <c r="R20" s="36"/>
      <c r="S20" s="36">
        <f>R20+O20</f>
        <v>52500</v>
      </c>
      <c r="T20" s="36">
        <f>S20/0.7</f>
        <v>75000</v>
      </c>
      <c r="U20" s="40">
        <f>T20/0.875</f>
        <v>85714.28571428571</v>
      </c>
      <c r="V20" s="41">
        <f>(U20-T20)/U20</f>
        <v>0.12499999999999996</v>
      </c>
      <c r="W20" s="40">
        <f>(ROUNDUP((U20/100),0))*100</f>
        <v>85800</v>
      </c>
      <c r="X20" s="42">
        <f>(T20-O20)/T20</f>
        <v>0.3</v>
      </c>
      <c r="Y20" s="43"/>
      <c r="Z20" s="43"/>
      <c r="AA20" s="44"/>
      <c r="AB20" s="60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2:76" ht="14.4" customHeight="1">
      <c r="B21" s="4">
        <v>474</v>
      </c>
      <c r="C21" s="5" t="s">
        <v>174</v>
      </c>
      <c r="D21" s="5" t="str">
        <f>REPLACE(C21,1,3, )</f>
        <v xml:space="preserve"> 743</v>
      </c>
      <c r="E21" s="6" t="s">
        <v>174</v>
      </c>
      <c r="F21" s="7">
        <f>IF(C21=E21,0,1)</f>
        <v>0</v>
      </c>
      <c r="G21" s="11" t="s">
        <v>298</v>
      </c>
      <c r="H21" s="11" t="s">
        <v>306</v>
      </c>
      <c r="I21" s="11" t="s">
        <v>340</v>
      </c>
      <c r="J21" s="12">
        <v>52500</v>
      </c>
      <c r="K21" s="13">
        <f>J21-M21</f>
        <v>6650</v>
      </c>
      <c r="L21" s="7" t="s">
        <v>23</v>
      </c>
      <c r="M21" s="14">
        <f>J21-N21</f>
        <v>45850</v>
      </c>
      <c r="N21" s="14">
        <f>2000+200+250+600+3600</f>
        <v>6650</v>
      </c>
      <c r="O21" s="39">
        <f>M21+N21</f>
        <v>52500</v>
      </c>
      <c r="P21" s="95"/>
      <c r="Q21" s="3" t="s">
        <v>397</v>
      </c>
      <c r="R21" s="36"/>
      <c r="S21" s="36">
        <f>R21+O21</f>
        <v>52500</v>
      </c>
      <c r="T21" s="36">
        <f>S21/0.7</f>
        <v>75000</v>
      </c>
      <c r="U21" s="40">
        <f>T21/0.875</f>
        <v>85714.28571428571</v>
      </c>
      <c r="V21" s="41">
        <f>(U21-T21)/U21</f>
        <v>0.12499999999999996</v>
      </c>
      <c r="W21" s="40">
        <f>(ROUNDUP((U21/100),0))*100</f>
        <v>85800</v>
      </c>
      <c r="X21" s="42">
        <f>(T21-O21)/T21</f>
        <v>0.3</v>
      </c>
      <c r="Y21" s="43"/>
      <c r="Z21" s="43"/>
      <c r="AA21" s="44"/>
      <c r="AB21" s="60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2:76" ht="14.4" customHeight="1">
      <c r="B22" s="4">
        <v>475</v>
      </c>
      <c r="C22" s="38" t="s">
        <v>775</v>
      </c>
      <c r="D22" s="5" t="str">
        <f>REPLACE(C22,1,3, )</f>
        <v xml:space="preserve"> 771</v>
      </c>
      <c r="E22" s="6" t="s">
        <v>775</v>
      </c>
      <c r="F22" s="7">
        <f>IF(C22=E22,0,1)</f>
        <v>0</v>
      </c>
      <c r="G22" s="8" t="s">
        <v>20</v>
      </c>
      <c r="H22" s="8" t="s">
        <v>306</v>
      </c>
      <c r="I22" s="8" t="s">
        <v>776</v>
      </c>
      <c r="J22" s="87">
        <v>50000</v>
      </c>
      <c r="K22" s="87">
        <f>J22-M22</f>
        <v>0</v>
      </c>
      <c r="L22" s="103" t="s">
        <v>1428</v>
      </c>
      <c r="M22" s="86">
        <f>J22</f>
        <v>50000</v>
      </c>
      <c r="N22" s="87">
        <f>2000+3450+800+200+250</f>
        <v>6700</v>
      </c>
      <c r="O22" s="101">
        <f>M22+N22</f>
        <v>56700</v>
      </c>
      <c r="P22" s="95"/>
      <c r="Q22" s="88" t="s">
        <v>1402</v>
      </c>
      <c r="R22" s="36"/>
      <c r="S22" s="36">
        <f>R22+O22</f>
        <v>56700</v>
      </c>
      <c r="T22" s="36">
        <f>S22/0.7</f>
        <v>81000</v>
      </c>
      <c r="U22" s="40">
        <f>T22/0.875</f>
        <v>92571.428571428565</v>
      </c>
      <c r="V22" s="41">
        <f>(U22-T22)/U22</f>
        <v>0.12499999999999994</v>
      </c>
      <c r="W22" s="40">
        <f>(ROUNDUP((U22/100),0))*100</f>
        <v>92600</v>
      </c>
      <c r="X22" s="42">
        <f>(T22-O22)/T22</f>
        <v>0.3</v>
      </c>
      <c r="Y22" s="45">
        <v>81025</v>
      </c>
      <c r="Z22" s="46">
        <f>T22-Y22</f>
        <v>-25</v>
      </c>
      <c r="AA22" s="47">
        <f>Z22/Y22</f>
        <v>-3.0854674483184202E-4</v>
      </c>
      <c r="AB22" s="60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  <row r="23" spans="2:76" ht="14.4" customHeight="1">
      <c r="B23" s="4">
        <v>476</v>
      </c>
      <c r="C23" s="38" t="s">
        <v>777</v>
      </c>
      <c r="D23" s="5" t="str">
        <f>REPLACE(C23,1,3, )</f>
        <v xml:space="preserve"> 277</v>
      </c>
      <c r="E23" s="6" t="s">
        <v>777</v>
      </c>
      <c r="F23" s="7">
        <f>IF(C23=E23,0,1)</f>
        <v>0</v>
      </c>
      <c r="G23" s="8" t="s">
        <v>298</v>
      </c>
      <c r="H23" s="8" t="s">
        <v>306</v>
      </c>
      <c r="I23" s="8" t="s">
        <v>778</v>
      </c>
      <c r="J23" s="12"/>
      <c r="K23" s="13">
        <f>J23-M23</f>
        <v>0</v>
      </c>
      <c r="L23" s="7"/>
      <c r="M23" s="14">
        <f>J23-N23</f>
        <v>0</v>
      </c>
      <c r="N23" s="14"/>
      <c r="O23" s="39">
        <f>M23+N23</f>
        <v>0</v>
      </c>
      <c r="P23" s="95"/>
      <c r="Q23" s="3"/>
      <c r="R23" s="36"/>
      <c r="S23" s="36">
        <f>R23+O23</f>
        <v>0</v>
      </c>
      <c r="T23" s="36">
        <f>S23/0.7</f>
        <v>0</v>
      </c>
      <c r="U23" s="40">
        <f>T23/0.875</f>
        <v>0</v>
      </c>
      <c r="V23" s="41" t="e">
        <f>(U23-T23)/U23</f>
        <v>#DIV/0!</v>
      </c>
      <c r="W23" s="40">
        <f>(ROUNDUP((U23/100),0))*100</f>
        <v>0</v>
      </c>
      <c r="X23" s="42" t="e">
        <f>(T23-O23)/T23</f>
        <v>#DIV/0!</v>
      </c>
      <c r="Y23" s="43"/>
      <c r="Z23" s="43"/>
      <c r="AA23" s="44"/>
      <c r="AB23" s="60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</row>
    <row r="24" spans="2:76" ht="14.4" customHeight="1">
      <c r="B24" s="4">
        <v>477</v>
      </c>
      <c r="C24" s="5" t="s">
        <v>71</v>
      </c>
      <c r="D24" s="5" t="str">
        <f>REPLACE(C24,1,3, )</f>
        <v xml:space="preserve"> 786</v>
      </c>
      <c r="E24" s="6" t="s">
        <v>71</v>
      </c>
      <c r="F24" s="7">
        <f>IF(C24=E24,0,1)</f>
        <v>0</v>
      </c>
      <c r="G24" s="11" t="s">
        <v>20</v>
      </c>
      <c r="H24" s="11" t="s">
        <v>306</v>
      </c>
      <c r="I24" s="11" t="s">
        <v>356</v>
      </c>
      <c r="J24" s="12">
        <v>51650</v>
      </c>
      <c r="K24" s="13">
        <f>J24-M24</f>
        <v>6650</v>
      </c>
      <c r="L24" s="7" t="s">
        <v>23</v>
      </c>
      <c r="M24" s="14">
        <f>J24-N24</f>
        <v>45000</v>
      </c>
      <c r="N24" s="15">
        <f>2000+200+250+600+3600</f>
        <v>6650</v>
      </c>
      <c r="O24" s="39">
        <f>M24+N24</f>
        <v>51650</v>
      </c>
      <c r="P24" s="95"/>
      <c r="Q24" s="3" t="s">
        <v>397</v>
      </c>
      <c r="R24" s="36"/>
      <c r="S24" s="36">
        <f>R24+O24</f>
        <v>51650</v>
      </c>
      <c r="T24" s="36">
        <f>S24/0.7</f>
        <v>73785.71428571429</v>
      </c>
      <c r="U24" s="40">
        <f>T24/0.875</f>
        <v>84326.530612244896</v>
      </c>
      <c r="V24" s="41">
        <f>(U24-T24)/U24</f>
        <v>0.12499999999999993</v>
      </c>
      <c r="W24" s="40">
        <f>(ROUNDUP((U24/100),0))*100</f>
        <v>84400</v>
      </c>
      <c r="X24" s="42">
        <f>(T24-O24)/T24</f>
        <v>0.30000000000000004</v>
      </c>
      <c r="Y24" s="45">
        <v>78225</v>
      </c>
      <c r="Z24" s="46">
        <f>T24-Y24</f>
        <v>-4439.2857142857101</v>
      </c>
      <c r="AA24" s="47">
        <f>Z24/Y24</f>
        <v>-5.6750216865269543E-2</v>
      </c>
      <c r="AB24" s="159" t="s">
        <v>1524</v>
      </c>
      <c r="AC24" s="165">
        <v>84495.238095238106</v>
      </c>
      <c r="AD24" s="146">
        <v>81785.71428571429</v>
      </c>
      <c r="AE24" s="147">
        <v>76900</v>
      </c>
      <c r="AF24" s="148">
        <v>3.3129548762736619E-2</v>
      </c>
      <c r="AG24" s="149">
        <v>80867</v>
      </c>
      <c r="AH24" s="155">
        <v>67226</v>
      </c>
      <c r="AI24" s="146">
        <v>68961.42857142858</v>
      </c>
      <c r="AJ24" s="146">
        <v>66257</v>
      </c>
      <c r="AK24" s="151"/>
      <c r="AL24" s="155">
        <v>71111</v>
      </c>
      <c r="AM24" s="146">
        <v>78858.571428571435</v>
      </c>
      <c r="AN24" s="146">
        <v>71933</v>
      </c>
      <c r="AO24" s="151"/>
      <c r="AP24" s="149"/>
      <c r="AQ24" s="151"/>
      <c r="AR24" s="151"/>
      <c r="AS24" s="151"/>
      <c r="AT24" s="149"/>
      <c r="AU24" s="151"/>
      <c r="AV24" s="151"/>
      <c r="AW24" s="149"/>
      <c r="AX24" s="151"/>
      <c r="AY24" s="151"/>
      <c r="AZ24" s="151">
        <v>83742</v>
      </c>
      <c r="BA24" s="155">
        <v>77292</v>
      </c>
      <c r="BB24" s="146">
        <v>80068</v>
      </c>
      <c r="BC24" s="146">
        <v>73159</v>
      </c>
      <c r="BD24" s="151"/>
      <c r="BE24" s="158"/>
      <c r="BF24" s="150">
        <v>65271.428571428572</v>
      </c>
      <c r="BG24" s="163">
        <v>65709</v>
      </c>
      <c r="BH24" s="151">
        <v>96563</v>
      </c>
      <c r="BI24" s="156">
        <v>94454</v>
      </c>
      <c r="BJ24" s="146">
        <v>83142.857142857145</v>
      </c>
      <c r="BK24" s="146">
        <v>76083</v>
      </c>
      <c r="BL24" s="151"/>
      <c r="BM24" s="158"/>
      <c r="BN24" s="146">
        <v>84441.42857142858</v>
      </c>
      <c r="BO24" s="146">
        <v>80050</v>
      </c>
      <c r="BP24" s="151"/>
      <c r="BQ24" s="156">
        <v>86175</v>
      </c>
      <c r="BR24" s="146">
        <v>78447.142857142855</v>
      </c>
      <c r="BS24" s="151"/>
      <c r="BT24" s="151"/>
      <c r="BU24" s="149"/>
      <c r="BV24" s="146">
        <v>86392.857142857145</v>
      </c>
      <c r="BW24" s="146">
        <v>86914</v>
      </c>
      <c r="BX24" s="153"/>
    </row>
    <row r="25" spans="2:76" ht="14.4" customHeight="1">
      <c r="B25" s="4">
        <v>464</v>
      </c>
      <c r="C25" s="5" t="s">
        <v>227</v>
      </c>
      <c r="D25" s="5" t="str">
        <f>REPLACE(C25,1,3, )</f>
        <v xml:space="preserve"> 487</v>
      </c>
      <c r="E25" s="6" t="s">
        <v>227</v>
      </c>
      <c r="F25" s="7">
        <f>IF(C25=E25,0,1)</f>
        <v>0</v>
      </c>
      <c r="G25" s="11" t="s">
        <v>298</v>
      </c>
      <c r="H25" s="11" t="s">
        <v>1497</v>
      </c>
      <c r="I25" s="11" t="s">
        <v>355</v>
      </c>
      <c r="J25" s="12">
        <v>133000</v>
      </c>
      <c r="K25" s="13">
        <f>J25-M25</f>
        <v>3050</v>
      </c>
      <c r="L25" s="7" t="s">
        <v>23</v>
      </c>
      <c r="M25" s="14">
        <f>J25-N25</f>
        <v>129950</v>
      </c>
      <c r="N25" s="15">
        <f>2000+200+250+600</f>
        <v>3050</v>
      </c>
      <c r="O25" s="39">
        <f>M25+N25</f>
        <v>133000</v>
      </c>
      <c r="P25" s="96"/>
      <c r="Q25" s="3" t="s">
        <v>426</v>
      </c>
      <c r="R25" s="36"/>
      <c r="S25" s="36">
        <f>R25+O25</f>
        <v>133000</v>
      </c>
      <c r="T25" s="36">
        <f>S25/0.7</f>
        <v>190000</v>
      </c>
      <c r="U25" s="40">
        <f>T25/0.875</f>
        <v>217142.85714285713</v>
      </c>
      <c r="V25" s="41">
        <f>(U25-T25)/U25</f>
        <v>0.12499999999999994</v>
      </c>
      <c r="W25" s="40">
        <f>(ROUNDUP((U25/100),0))*100</f>
        <v>217200</v>
      </c>
      <c r="X25" s="42">
        <f>(T25-O25)/T25</f>
        <v>0.3</v>
      </c>
      <c r="Y25" s="43"/>
      <c r="Z25" s="43"/>
      <c r="AA25" s="43"/>
      <c r="AB25" s="159" t="s">
        <v>1525</v>
      </c>
      <c r="AC25" s="145">
        <v>115285.71428571429</v>
      </c>
      <c r="AD25" s="146">
        <v>107214.28571428572</v>
      </c>
      <c r="AE25" s="147">
        <v>100857</v>
      </c>
      <c r="AF25" s="148">
        <v>7.5283144570286412E-2</v>
      </c>
      <c r="AG25" s="149">
        <v>119000</v>
      </c>
      <c r="AH25" s="156">
        <v>111720</v>
      </c>
      <c r="AI25" s="146">
        <v>112200</v>
      </c>
      <c r="AJ25" s="151"/>
      <c r="AK25" s="151"/>
      <c r="AL25" s="156">
        <v>115237.14285714287</v>
      </c>
      <c r="AM25" s="146">
        <v>118072.85714285714</v>
      </c>
      <c r="AN25" s="146">
        <v>95200</v>
      </c>
      <c r="AO25" s="151"/>
      <c r="AP25" s="149"/>
      <c r="AQ25" s="151"/>
      <c r="AR25" s="151"/>
      <c r="AS25" s="151"/>
      <c r="AT25" s="149"/>
      <c r="AU25" s="151"/>
      <c r="AV25" s="151"/>
      <c r="AW25" s="149"/>
      <c r="AX25" s="151"/>
      <c r="AY25" s="151"/>
      <c r="AZ25" s="151">
        <v>114660</v>
      </c>
      <c r="BA25" s="156">
        <v>111726</v>
      </c>
      <c r="BB25" s="146">
        <v>112266</v>
      </c>
      <c r="BC25" s="146">
        <v>102816</v>
      </c>
      <c r="BD25" s="151"/>
      <c r="BE25" s="158"/>
      <c r="BF25" s="161">
        <v>103700</v>
      </c>
      <c r="BG25" s="151"/>
      <c r="BH25" s="151">
        <v>119000</v>
      </c>
      <c r="BI25" s="156">
        <v>112666</v>
      </c>
      <c r="BJ25" s="146">
        <v>106681.42857142858</v>
      </c>
      <c r="BK25" s="146">
        <v>100000</v>
      </c>
      <c r="BL25" s="151"/>
      <c r="BM25" s="158"/>
      <c r="BN25" s="146">
        <v>104525.71428571429</v>
      </c>
      <c r="BO25" s="146">
        <v>104720</v>
      </c>
      <c r="BP25" s="151"/>
      <c r="BQ25" s="162">
        <v>96826</v>
      </c>
      <c r="BR25" s="146">
        <v>98850</v>
      </c>
      <c r="BS25" s="146">
        <v>95850</v>
      </c>
      <c r="BT25" s="151"/>
      <c r="BU25" s="158"/>
      <c r="BV25" s="151"/>
      <c r="BW25" s="151"/>
      <c r="BX25" s="153"/>
    </row>
    <row r="26" spans="2:76" ht="14.4" customHeight="1">
      <c r="B26" s="4">
        <v>466</v>
      </c>
      <c r="C26" s="38" t="s">
        <v>773</v>
      </c>
      <c r="D26" s="5" t="str">
        <f>REPLACE(C26,1,3, )</f>
        <v xml:space="preserve"> 727</v>
      </c>
      <c r="E26" s="6" t="s">
        <v>773</v>
      </c>
      <c r="F26" s="7">
        <f>IF(C26=E26,0,1)</f>
        <v>0</v>
      </c>
      <c r="G26" s="8" t="s">
        <v>20</v>
      </c>
      <c r="H26" s="8" t="s">
        <v>1496</v>
      </c>
      <c r="I26" s="8" t="s">
        <v>735</v>
      </c>
      <c r="J26" s="12">
        <f>M26</f>
        <v>53000</v>
      </c>
      <c r="K26" s="13">
        <f>J26-M26</f>
        <v>0</v>
      </c>
      <c r="L26" s="17" t="s">
        <v>22</v>
      </c>
      <c r="M26" s="18">
        <v>53000</v>
      </c>
      <c r="N26" s="15">
        <f>2000+600+200+250+3600</f>
        <v>6650</v>
      </c>
      <c r="O26" s="39">
        <f>M26+N26</f>
        <v>59650</v>
      </c>
      <c r="P26" s="96"/>
      <c r="Q26" s="77" t="s">
        <v>1364</v>
      </c>
      <c r="R26" s="36"/>
      <c r="S26" s="36">
        <f>R26+O26</f>
        <v>59650</v>
      </c>
      <c r="T26" s="36">
        <f>S26/0.7</f>
        <v>85214.285714285725</v>
      </c>
      <c r="U26" s="40">
        <f>T26/0.875</f>
        <v>97387.755102040828</v>
      </c>
      <c r="V26" s="41">
        <f>(U26-T26)/U26</f>
        <v>0.125</v>
      </c>
      <c r="W26" s="40">
        <f>(ROUNDUP((U26/100),0))*100</f>
        <v>97400</v>
      </c>
      <c r="X26" s="42">
        <f>(T26-O26)/T26</f>
        <v>0.3000000000000001</v>
      </c>
      <c r="Y26" s="45">
        <v>79625</v>
      </c>
      <c r="Z26" s="46">
        <f>T26-Y26</f>
        <v>5589.2857142857247</v>
      </c>
      <c r="AA26" s="47">
        <f>Z26/Y26</f>
        <v>7.0195111011437675E-2</v>
      </c>
      <c r="AB26" s="173" t="s">
        <v>1526</v>
      </c>
      <c r="AC26" s="145">
        <v>78500.000000000015</v>
      </c>
      <c r="AD26" s="163">
        <v>73571.42857142858</v>
      </c>
      <c r="AE26" s="164">
        <v>70714</v>
      </c>
      <c r="AF26" s="148">
        <v>6.6990291262136001E-2</v>
      </c>
      <c r="AG26" s="149"/>
      <c r="AH26" s="149"/>
      <c r="AI26" s="151"/>
      <c r="AJ26" s="146">
        <v>66726</v>
      </c>
      <c r="AK26" s="151"/>
      <c r="AL26" s="155">
        <v>74025</v>
      </c>
      <c r="AM26" s="146">
        <v>71925.71428571429</v>
      </c>
      <c r="AN26" s="146">
        <v>73440</v>
      </c>
      <c r="AO26" s="151"/>
      <c r="AP26" s="149"/>
      <c r="AQ26" s="151"/>
      <c r="AR26" s="151"/>
      <c r="AS26" s="151"/>
      <c r="AT26" s="149"/>
      <c r="AU26" s="151"/>
      <c r="AV26" s="151"/>
      <c r="AW26" s="149"/>
      <c r="AX26" s="151"/>
      <c r="AY26" s="151"/>
      <c r="AZ26" s="151"/>
      <c r="BA26" s="149"/>
      <c r="BB26" s="151"/>
      <c r="BC26" s="151"/>
      <c r="BD26" s="151"/>
      <c r="BE26" s="149"/>
      <c r="BF26" s="151"/>
      <c r="BG26" s="163">
        <v>61200</v>
      </c>
      <c r="BH26" s="151">
        <v>79000</v>
      </c>
      <c r="BI26" s="156">
        <v>78499</v>
      </c>
      <c r="BJ26" s="146">
        <v>72500</v>
      </c>
      <c r="BK26" s="146">
        <v>70333</v>
      </c>
      <c r="BL26" s="151"/>
      <c r="BM26" s="158"/>
      <c r="BN26" s="146">
        <v>58608.571428571435</v>
      </c>
      <c r="BO26" s="146">
        <v>54209</v>
      </c>
      <c r="BP26" s="151"/>
      <c r="BQ26" s="149"/>
      <c r="BR26" s="151"/>
      <c r="BS26" s="151"/>
      <c r="BT26" s="151"/>
      <c r="BU26" s="149"/>
      <c r="BV26" s="146">
        <v>62100.000000000007</v>
      </c>
      <c r="BW26" s="151"/>
      <c r="BX26" s="153"/>
    </row>
    <row r="27" spans="2:76" ht="14.4" customHeight="1">
      <c r="B27" s="4">
        <v>457</v>
      </c>
      <c r="C27" s="38" t="s">
        <v>770</v>
      </c>
      <c r="D27" s="5" t="str">
        <f>REPLACE(C27,1,3, )</f>
        <v xml:space="preserve"> 186</v>
      </c>
      <c r="E27" s="6" t="s">
        <v>770</v>
      </c>
      <c r="F27" s="7">
        <f>IF(C27=E27,0,1)</f>
        <v>0</v>
      </c>
      <c r="G27" s="8" t="s">
        <v>20</v>
      </c>
      <c r="H27" s="8" t="s">
        <v>1495</v>
      </c>
      <c r="I27" s="8" t="s">
        <v>593</v>
      </c>
      <c r="J27" s="12">
        <v>67000</v>
      </c>
      <c r="K27" s="13">
        <f>J27-M27</f>
        <v>6400</v>
      </c>
      <c r="L27" s="7" t="s">
        <v>23</v>
      </c>
      <c r="M27" s="14">
        <f>J27-N27</f>
        <v>60600</v>
      </c>
      <c r="N27" s="14">
        <f>2000+200+600+3600</f>
        <v>6400</v>
      </c>
      <c r="O27" s="39">
        <f>M27+N27</f>
        <v>67000</v>
      </c>
      <c r="P27" s="95"/>
      <c r="Q27" s="77" t="s">
        <v>1354</v>
      </c>
      <c r="R27" s="36"/>
      <c r="S27" s="36">
        <f>R27+O27</f>
        <v>67000</v>
      </c>
      <c r="T27" s="36">
        <f>S27/0.7</f>
        <v>95714.285714285725</v>
      </c>
      <c r="U27" s="40">
        <f>T27/0.875</f>
        <v>109387.75510204083</v>
      </c>
      <c r="V27" s="41">
        <f>(U27-T27)/U27</f>
        <v>0.125</v>
      </c>
      <c r="W27" s="40">
        <f>(ROUNDUP((U27/100),0))*100</f>
        <v>109400</v>
      </c>
      <c r="X27" s="42">
        <f>(T27-O27)/T27</f>
        <v>0.3000000000000001</v>
      </c>
      <c r="Y27" s="45">
        <v>87150</v>
      </c>
      <c r="Z27" s="46">
        <f>T27-Y27</f>
        <v>8564.2857142857247</v>
      </c>
      <c r="AA27" s="47">
        <f>Z27/Y27</f>
        <v>9.8270633554626785E-2</v>
      </c>
      <c r="AB27" s="60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</row>
    <row r="28" spans="2:76" ht="14.4" customHeight="1">
      <c r="B28" s="4">
        <v>467</v>
      </c>
      <c r="C28" s="38" t="s">
        <v>774</v>
      </c>
      <c r="D28" s="5" t="str">
        <f>REPLACE(C28,1,3, )</f>
        <v xml:space="preserve"> 682</v>
      </c>
      <c r="E28" s="6" t="s">
        <v>774</v>
      </c>
      <c r="F28" s="7">
        <f>IF(C28=E28,0,1)</f>
        <v>0</v>
      </c>
      <c r="G28" s="8" t="s">
        <v>20</v>
      </c>
      <c r="H28" s="8" t="s">
        <v>1495</v>
      </c>
      <c r="I28" s="8" t="s">
        <v>725</v>
      </c>
      <c r="J28" s="87">
        <v>47500</v>
      </c>
      <c r="K28" s="87">
        <f>J28-M28</f>
        <v>0</v>
      </c>
      <c r="L28" s="103" t="s">
        <v>1428</v>
      </c>
      <c r="M28" s="86">
        <f>J28</f>
        <v>47500</v>
      </c>
      <c r="N28" s="87">
        <f>2000+3450+800+200+250</f>
        <v>6700</v>
      </c>
      <c r="O28" s="101">
        <f>N28+M28</f>
        <v>54200</v>
      </c>
      <c r="P28" s="95"/>
      <c r="Q28" s="88" t="s">
        <v>1402</v>
      </c>
      <c r="R28" s="36"/>
      <c r="S28" s="36">
        <f>R28+O28</f>
        <v>54200</v>
      </c>
      <c r="T28" s="36">
        <f>S28/0.7</f>
        <v>77428.571428571435</v>
      </c>
      <c r="U28" s="40">
        <f>T28/0.875</f>
        <v>88489.795918367352</v>
      </c>
      <c r="V28" s="41">
        <f>(U28-T28)/U28</f>
        <v>0.12499999999999999</v>
      </c>
      <c r="W28" s="40">
        <f>(ROUNDUP((U28/100),0))*100</f>
        <v>88500</v>
      </c>
      <c r="X28" s="42">
        <f>(T28-O28)/T28</f>
        <v>0.30000000000000004</v>
      </c>
      <c r="Y28" s="45">
        <v>80325</v>
      </c>
      <c r="Z28" s="46">
        <f>T28-Y28</f>
        <v>-2896.4285714285652</v>
      </c>
      <c r="AA28" s="47">
        <f>Z28/Y28</f>
        <v>-3.6058867991641021E-2</v>
      </c>
      <c r="AB28" s="60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</row>
    <row r="29" spans="2:76" ht="14.4" customHeight="1">
      <c r="B29" s="4">
        <v>469</v>
      </c>
      <c r="C29" s="5" t="s">
        <v>229</v>
      </c>
      <c r="D29" s="5" t="str">
        <f>REPLACE(C29,1,3, )</f>
        <v xml:space="preserve"> 363</v>
      </c>
      <c r="E29" s="6" t="s">
        <v>229</v>
      </c>
      <c r="F29" s="7">
        <f>IF(C29=E29,0,1)</f>
        <v>0</v>
      </c>
      <c r="G29" s="11" t="s">
        <v>298</v>
      </c>
      <c r="H29" s="11" t="s">
        <v>1495</v>
      </c>
      <c r="I29" s="11" t="s">
        <v>356</v>
      </c>
      <c r="J29" s="12">
        <v>55550</v>
      </c>
      <c r="K29" s="13">
        <f>J29-M29</f>
        <v>6050</v>
      </c>
      <c r="L29" s="7" t="s">
        <v>23</v>
      </c>
      <c r="M29" s="14">
        <f>J29-N29</f>
        <v>49500</v>
      </c>
      <c r="N29" s="15">
        <f>2000+200+250+600+3000</f>
        <v>6050</v>
      </c>
      <c r="O29" s="39">
        <f>M29+N29</f>
        <v>55550</v>
      </c>
      <c r="P29" s="95"/>
      <c r="Q29" s="3" t="s">
        <v>399</v>
      </c>
      <c r="R29" s="36"/>
      <c r="S29" s="36">
        <f>R29+O29</f>
        <v>55550</v>
      </c>
      <c r="T29" s="36">
        <f>S29/0.7</f>
        <v>79357.142857142855</v>
      </c>
      <c r="U29" s="40">
        <f>T29/0.875</f>
        <v>90693.8775510204</v>
      </c>
      <c r="V29" s="41">
        <f>(U29-T29)/U29</f>
        <v>0.12499999999999994</v>
      </c>
      <c r="W29" s="40">
        <f>(ROUNDUP((U29/100),0))*100</f>
        <v>90700</v>
      </c>
      <c r="X29" s="42">
        <f>(T29-O29)/T29</f>
        <v>0.3</v>
      </c>
      <c r="Y29" s="43"/>
      <c r="Z29" s="43"/>
      <c r="AA29" s="43"/>
      <c r="AB29" s="59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</row>
    <row r="30" spans="2:76" ht="14.4" customHeight="1">
      <c r="B30" s="4">
        <v>471</v>
      </c>
      <c r="C30" s="5" t="s">
        <v>230</v>
      </c>
      <c r="D30" s="5" t="str">
        <f>REPLACE(C30,1,3, )</f>
        <v xml:space="preserve"> 804</v>
      </c>
      <c r="E30" s="6" t="s">
        <v>230</v>
      </c>
      <c r="F30" s="7">
        <f>IF(C30=E30,0,1)</f>
        <v>0</v>
      </c>
      <c r="G30" s="11" t="s">
        <v>298</v>
      </c>
      <c r="H30" s="11" t="s">
        <v>1495</v>
      </c>
      <c r="I30" s="11" t="s">
        <v>356</v>
      </c>
      <c r="J30" s="12">
        <v>55650</v>
      </c>
      <c r="K30" s="13">
        <f>J30-M30</f>
        <v>6650</v>
      </c>
      <c r="L30" s="7" t="s">
        <v>23</v>
      </c>
      <c r="M30" s="14">
        <f>J30-N30</f>
        <v>49000</v>
      </c>
      <c r="N30" s="15">
        <f>2000+200+250+600+3600</f>
        <v>6650</v>
      </c>
      <c r="O30" s="39">
        <f>M30+N30</f>
        <v>55650</v>
      </c>
      <c r="P30" s="95"/>
      <c r="Q30" s="3" t="s">
        <v>397</v>
      </c>
      <c r="R30" s="36"/>
      <c r="S30" s="36">
        <f>R30+O30</f>
        <v>55650</v>
      </c>
      <c r="T30" s="36">
        <f>S30/0.7</f>
        <v>79500</v>
      </c>
      <c r="U30" s="40">
        <f>T30/0.875</f>
        <v>90857.142857142855</v>
      </c>
      <c r="V30" s="41">
        <f>(U30-T30)/U30</f>
        <v>0.12499999999999999</v>
      </c>
      <c r="W30" s="40">
        <f>(ROUNDUP((U30/100),0))*100</f>
        <v>90900</v>
      </c>
      <c r="X30" s="42">
        <f>(T30-O30)/T30</f>
        <v>0.3</v>
      </c>
      <c r="Y30" s="43"/>
      <c r="Z30" s="43"/>
      <c r="AA30" s="44"/>
      <c r="AB30" s="60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</row>
    <row r="31" spans="2:76" ht="14.4" customHeight="1">
      <c r="B31" s="4">
        <v>473</v>
      </c>
      <c r="C31" s="5" t="s">
        <v>70</v>
      </c>
      <c r="D31" s="5" t="str">
        <f>REPLACE(C31,1,3, )</f>
        <v xml:space="preserve"> 777</v>
      </c>
      <c r="E31" s="6" t="s">
        <v>70</v>
      </c>
      <c r="F31" s="7">
        <f>IF(C31=E31,0,1)</f>
        <v>0</v>
      </c>
      <c r="G31" s="11" t="s">
        <v>20</v>
      </c>
      <c r="H31" s="11" t="s">
        <v>1495</v>
      </c>
      <c r="I31" s="11" t="s">
        <v>356</v>
      </c>
      <c r="J31" s="12">
        <v>54150</v>
      </c>
      <c r="K31" s="13">
        <f>J31-M31</f>
        <v>6650</v>
      </c>
      <c r="L31" s="7" t="s">
        <v>23</v>
      </c>
      <c r="M31" s="14">
        <f>J31-N31</f>
        <v>47500</v>
      </c>
      <c r="N31" s="15">
        <f>2000+200+250+600+3600</f>
        <v>6650</v>
      </c>
      <c r="O31" s="39">
        <f>M31+N31</f>
        <v>54150</v>
      </c>
      <c r="P31" s="96"/>
      <c r="Q31" s="3" t="s">
        <v>397</v>
      </c>
      <c r="R31" s="36"/>
      <c r="S31" s="36">
        <f>R31+O31</f>
        <v>54150</v>
      </c>
      <c r="T31" s="36">
        <f>S31/0.7</f>
        <v>77357.142857142855</v>
      </c>
      <c r="U31" s="40">
        <f>T31/0.875</f>
        <v>88408.163265306124</v>
      </c>
      <c r="V31" s="41">
        <f>(U31-T31)/U31</f>
        <v>0.12500000000000003</v>
      </c>
      <c r="W31" s="40">
        <f>(ROUNDUP((U31/100),0))*100</f>
        <v>88500</v>
      </c>
      <c r="X31" s="42">
        <f>(T31-O31)/T31</f>
        <v>0.3</v>
      </c>
      <c r="Y31" s="45">
        <v>76738</v>
      </c>
      <c r="Z31" s="46">
        <f>T31-Y31</f>
        <v>619.14285714285506</v>
      </c>
      <c r="AA31" s="47">
        <f>Z31/Y31</f>
        <v>8.0682693990311843E-3</v>
      </c>
      <c r="AB31" s="173" t="s">
        <v>1527</v>
      </c>
      <c r="AC31" s="165">
        <v>80750</v>
      </c>
      <c r="AD31" s="146">
        <v>77714.285714285725</v>
      </c>
      <c r="AE31" s="147">
        <v>71000</v>
      </c>
      <c r="AF31" s="148">
        <v>3.9062499999999861E-2</v>
      </c>
      <c r="AG31" s="149">
        <v>69500</v>
      </c>
      <c r="AH31" s="155">
        <v>67654.761904761865</v>
      </c>
      <c r="AI31" s="146">
        <v>57587.142857142862</v>
      </c>
      <c r="AJ31" s="146">
        <v>59296</v>
      </c>
      <c r="AK31" s="151"/>
      <c r="AL31" s="155">
        <v>70875</v>
      </c>
      <c r="AM31" s="146">
        <v>72712.857142857145</v>
      </c>
      <c r="AN31" s="151"/>
      <c r="AO31" s="151"/>
      <c r="AP31" s="149"/>
      <c r="AQ31" s="151"/>
      <c r="AR31" s="151"/>
      <c r="AS31" s="151"/>
      <c r="AT31" s="149"/>
      <c r="AU31" s="151"/>
      <c r="AV31" s="151"/>
      <c r="AW31" s="149"/>
      <c r="AX31" s="151"/>
      <c r="AY31" s="151"/>
      <c r="AZ31" s="151">
        <v>99090</v>
      </c>
      <c r="BA31" s="156">
        <v>83444</v>
      </c>
      <c r="BB31" s="151"/>
      <c r="BC31" s="151"/>
      <c r="BD31" s="151"/>
      <c r="BE31" s="149"/>
      <c r="BF31" s="151"/>
      <c r="BG31" s="151"/>
      <c r="BH31" s="151">
        <v>91000</v>
      </c>
      <c r="BI31" s="156">
        <v>88000</v>
      </c>
      <c r="BJ31" s="146">
        <v>81500</v>
      </c>
      <c r="BK31" s="146">
        <v>79000</v>
      </c>
      <c r="BL31" s="151"/>
      <c r="BM31" s="158"/>
      <c r="BN31" s="146">
        <v>74931.42857142858</v>
      </c>
      <c r="BO31" s="146">
        <v>72424</v>
      </c>
      <c r="BP31" s="151"/>
      <c r="BQ31" s="155">
        <v>76500</v>
      </c>
      <c r="BR31" s="146">
        <v>76050</v>
      </c>
      <c r="BS31" s="151"/>
      <c r="BT31" s="151"/>
      <c r="BU31" s="149"/>
      <c r="BV31" s="151"/>
      <c r="BW31" s="151"/>
      <c r="BX31" s="153"/>
    </row>
    <row r="32" spans="2:76" ht="14.4" customHeight="1">
      <c r="B32" s="4">
        <v>493</v>
      </c>
      <c r="C32" s="38" t="s">
        <v>786</v>
      </c>
      <c r="D32" s="5" t="str">
        <f>REPLACE(C32,1,3, )</f>
        <v xml:space="preserve"> 715</v>
      </c>
      <c r="E32" s="6" t="s">
        <v>786</v>
      </c>
      <c r="F32" s="7">
        <f>IF(C32=E32,0,1)</f>
        <v>0</v>
      </c>
      <c r="G32" s="8" t="s">
        <v>298</v>
      </c>
      <c r="H32" s="8" t="s">
        <v>1505</v>
      </c>
      <c r="I32" s="8" t="s">
        <v>512</v>
      </c>
      <c r="J32" s="12"/>
      <c r="K32" s="13">
        <f>J32-M32</f>
        <v>0</v>
      </c>
      <c r="L32" s="7"/>
      <c r="M32" s="14">
        <f>J32-N32</f>
        <v>0</v>
      </c>
      <c r="N32" s="15"/>
      <c r="O32" s="39">
        <f>M32+N32</f>
        <v>0</v>
      </c>
      <c r="P32" s="96"/>
      <c r="Q32" s="3"/>
      <c r="R32" s="36"/>
      <c r="S32" s="36">
        <f>R32+O32</f>
        <v>0</v>
      </c>
      <c r="T32" s="36">
        <f>S32/0.7</f>
        <v>0</v>
      </c>
      <c r="U32" s="40">
        <f>T32/0.875</f>
        <v>0</v>
      </c>
      <c r="V32" s="41" t="e">
        <f>(U32-T32)/U32</f>
        <v>#DIV/0!</v>
      </c>
      <c r="W32" s="40">
        <f>(ROUNDUP((U32/100),0))*100</f>
        <v>0</v>
      </c>
      <c r="X32" s="42" t="e">
        <f>(T32-O32)/T32</f>
        <v>#DIV/0!</v>
      </c>
      <c r="Y32" s="43"/>
      <c r="Z32" s="43"/>
      <c r="AA32" s="44"/>
      <c r="AB32" s="60"/>
      <c r="AC32" s="144" t="s">
        <v>1514</v>
      </c>
    </row>
    <row r="33" spans="2:76" ht="14.4" customHeight="1">
      <c r="B33" s="4">
        <v>490</v>
      </c>
      <c r="C33" s="38" t="s">
        <v>785</v>
      </c>
      <c r="D33" s="5" t="str">
        <f>REPLACE(C33,1,3, )</f>
        <v xml:space="preserve"> 353</v>
      </c>
      <c r="E33" s="6" t="s">
        <v>785</v>
      </c>
      <c r="F33" s="7">
        <f>IF(C33=E33,0,1)</f>
        <v>0</v>
      </c>
      <c r="G33" s="8" t="s">
        <v>20</v>
      </c>
      <c r="H33" s="8" t="s">
        <v>1504</v>
      </c>
      <c r="I33" s="8" t="s">
        <v>679</v>
      </c>
      <c r="J33" s="87">
        <v>70000</v>
      </c>
      <c r="K33" s="87">
        <f>J33-M33</f>
        <v>4450</v>
      </c>
      <c r="L33" s="88" t="s">
        <v>23</v>
      </c>
      <c r="M33" s="87">
        <f>J33-N33</f>
        <v>65550</v>
      </c>
      <c r="N33" s="87">
        <f>2000+650+800+200+300+500</f>
        <v>4450</v>
      </c>
      <c r="O33" s="101">
        <f>M33+N33</f>
        <v>70000</v>
      </c>
      <c r="P33" s="95"/>
      <c r="Q33" s="88" t="s">
        <v>1426</v>
      </c>
      <c r="R33" s="36"/>
      <c r="S33" s="36">
        <f>R33+O33</f>
        <v>70000</v>
      </c>
      <c r="T33" s="36">
        <f>S33/0.7</f>
        <v>100000</v>
      </c>
      <c r="U33" s="40">
        <f>T33/0.875</f>
        <v>114285.71428571429</v>
      </c>
      <c r="V33" s="41">
        <f>(U33-T33)/U33</f>
        <v>0.12500000000000003</v>
      </c>
      <c r="W33" s="40">
        <f>(ROUNDUP((U33/100),0))*100</f>
        <v>114300</v>
      </c>
      <c r="X33" s="42">
        <f>(T33-O33)/T33</f>
        <v>0.3</v>
      </c>
      <c r="Y33" s="45">
        <v>101500</v>
      </c>
      <c r="Z33" s="46">
        <f>T33-Y33</f>
        <v>-1500</v>
      </c>
      <c r="AA33" s="47">
        <f>Z33/Y33</f>
        <v>-1.4778325123152709E-2</v>
      </c>
      <c r="AB33" s="60"/>
    </row>
    <row r="34" spans="2:76" ht="14.4" customHeight="1">
      <c r="B34" s="4">
        <v>491</v>
      </c>
      <c r="C34" s="5" t="s">
        <v>73</v>
      </c>
      <c r="D34" s="5" t="str">
        <f>REPLACE(C34,1,3, )</f>
        <v xml:space="preserve"> 974</v>
      </c>
      <c r="E34" s="6" t="s">
        <v>73</v>
      </c>
      <c r="F34" s="7">
        <f>IF(C34=E34,0,1)</f>
        <v>0</v>
      </c>
      <c r="G34" s="7" t="s">
        <v>20</v>
      </c>
      <c r="H34" s="11" t="s">
        <v>1504</v>
      </c>
      <c r="I34" s="11" t="s">
        <v>329</v>
      </c>
      <c r="J34" s="12">
        <v>71000</v>
      </c>
      <c r="K34" s="13">
        <f>J34-M34</f>
        <v>3900</v>
      </c>
      <c r="L34" s="7" t="s">
        <v>23</v>
      </c>
      <c r="M34" s="14">
        <f>J34-N34</f>
        <v>67100</v>
      </c>
      <c r="N34" s="14">
        <f>2000+200+350+600+750</f>
        <v>3900</v>
      </c>
      <c r="O34" s="39">
        <f>M34+N34</f>
        <v>71000</v>
      </c>
      <c r="P34" s="95"/>
      <c r="Q34" s="3" t="s">
        <v>371</v>
      </c>
      <c r="R34" s="36">
        <v>5000</v>
      </c>
      <c r="S34" s="36">
        <f>R34+O34</f>
        <v>76000</v>
      </c>
      <c r="T34" s="36">
        <f>S34/0.7</f>
        <v>108571.42857142858</v>
      </c>
      <c r="U34" s="40">
        <f>T34/0.875</f>
        <v>124081.63265306123</v>
      </c>
      <c r="V34" s="41">
        <f>(U34-T34)/U34</f>
        <v>0.12499999999999996</v>
      </c>
      <c r="W34" s="40">
        <f>(ROUNDUP((U34/100),0))*100</f>
        <v>124100</v>
      </c>
      <c r="X34" s="42">
        <f>(T34-O34)/T34</f>
        <v>0.34605263157894744</v>
      </c>
      <c r="Y34" s="45">
        <v>101500</v>
      </c>
      <c r="Z34" s="46">
        <f>T34-Y34</f>
        <v>7071.4285714285797</v>
      </c>
      <c r="AA34" s="47">
        <f>Z34/Y34</f>
        <v>6.9669247009148574E-2</v>
      </c>
      <c r="AB34" s="60"/>
    </row>
    <row r="35" spans="2:76" ht="14.4" customHeight="1">
      <c r="B35" s="4">
        <v>492</v>
      </c>
      <c r="C35" s="5" t="s">
        <v>215</v>
      </c>
      <c r="D35" s="5" t="str">
        <f>REPLACE(C35,1,3, )</f>
        <v xml:space="preserve"> 469</v>
      </c>
      <c r="E35" s="6" t="s">
        <v>215</v>
      </c>
      <c r="F35" s="7">
        <f>IF(C35=E35,0,1)</f>
        <v>0</v>
      </c>
      <c r="G35" s="11" t="s">
        <v>298</v>
      </c>
      <c r="H35" s="11" t="s">
        <v>1504</v>
      </c>
      <c r="I35" s="11" t="s">
        <v>352</v>
      </c>
      <c r="J35" s="12">
        <v>74000</v>
      </c>
      <c r="K35" s="13">
        <f>J35-M35</f>
        <v>4250</v>
      </c>
      <c r="L35" s="7" t="s">
        <v>23</v>
      </c>
      <c r="M35" s="14">
        <f>J35-N35</f>
        <v>69750</v>
      </c>
      <c r="N35" s="15">
        <f>2000+200+350+600+300+800</f>
        <v>4250</v>
      </c>
      <c r="O35" s="39">
        <f>M35+N35</f>
        <v>74000</v>
      </c>
      <c r="P35" s="96"/>
      <c r="Q35" s="3" t="s">
        <v>419</v>
      </c>
      <c r="R35" s="36"/>
      <c r="S35" s="36">
        <f>R35+O35</f>
        <v>74000</v>
      </c>
      <c r="T35" s="36">
        <f>S35/0.7</f>
        <v>105714.28571428572</v>
      </c>
      <c r="U35" s="40">
        <f>T35/0.875</f>
        <v>120816.32653061226</v>
      </c>
      <c r="V35" s="41">
        <f>(U35-T35)/U35</f>
        <v>0.12500000000000006</v>
      </c>
      <c r="W35" s="40">
        <f>(ROUNDUP((U35/100),0))*100</f>
        <v>120900</v>
      </c>
      <c r="X35" s="42">
        <f>(T35-O35)/T35</f>
        <v>0.30000000000000004</v>
      </c>
      <c r="Y35" s="43"/>
      <c r="Z35" s="43"/>
      <c r="AA35" s="44"/>
      <c r="AB35" s="60"/>
    </row>
    <row r="36" spans="2:76" ht="14.4" customHeight="1">
      <c r="B36" s="4">
        <v>499</v>
      </c>
      <c r="C36" s="5" t="s">
        <v>478</v>
      </c>
      <c r="D36" s="5" t="str">
        <f>REPLACE(C36,1,3, )</f>
        <v xml:space="preserve"> 340</v>
      </c>
      <c r="E36" s="6" t="s">
        <v>478</v>
      </c>
      <c r="F36" s="7">
        <f>IF(C36=E36,0,1)</f>
        <v>0</v>
      </c>
      <c r="G36" s="11" t="s">
        <v>298</v>
      </c>
      <c r="H36" s="11" t="s">
        <v>1504</v>
      </c>
      <c r="I36" s="11" t="s">
        <v>354</v>
      </c>
      <c r="J36" s="12"/>
      <c r="K36" s="13">
        <f>J36-M36</f>
        <v>0</v>
      </c>
      <c r="L36" s="7"/>
      <c r="M36" s="14">
        <f>J36-N36</f>
        <v>0</v>
      </c>
      <c r="N36" s="15"/>
      <c r="O36" s="39">
        <f>M36+N36</f>
        <v>0</v>
      </c>
      <c r="P36" s="95"/>
      <c r="Q36" s="3"/>
      <c r="R36" s="36"/>
      <c r="S36" s="36">
        <f>R36+O36</f>
        <v>0</v>
      </c>
      <c r="T36" s="36">
        <f>S36/0.7</f>
        <v>0</v>
      </c>
      <c r="U36" s="40">
        <f>T36/0.875</f>
        <v>0</v>
      </c>
      <c r="V36" s="41" t="e">
        <f>(U36-T36)/U36</f>
        <v>#DIV/0!</v>
      </c>
      <c r="W36" s="40">
        <f>(ROUNDUP((U36/100),0))*100</f>
        <v>0</v>
      </c>
      <c r="X36" s="42" t="e">
        <f>(T36-O36)/T36</f>
        <v>#DIV/0!</v>
      </c>
      <c r="Y36" s="43"/>
      <c r="Z36" s="43"/>
      <c r="AA36" s="43"/>
      <c r="AB36" s="59"/>
    </row>
    <row r="37" spans="2:76" ht="14.4" customHeight="1">
      <c r="B37" s="4">
        <v>501</v>
      </c>
      <c r="C37" s="5" t="s">
        <v>481</v>
      </c>
      <c r="D37" s="5" t="str">
        <f>REPLACE(C37,1,3, )</f>
        <v xml:space="preserve"> 688</v>
      </c>
      <c r="E37" s="6" t="s">
        <v>481</v>
      </c>
      <c r="F37" s="7">
        <f>IF(C37=E37,0,1)</f>
        <v>0</v>
      </c>
      <c r="G37" s="11" t="s">
        <v>20</v>
      </c>
      <c r="H37" s="11" t="s">
        <v>1504</v>
      </c>
      <c r="I37" s="11" t="s">
        <v>352</v>
      </c>
      <c r="J37" s="12"/>
      <c r="K37" s="13">
        <f>J37-M37</f>
        <v>0</v>
      </c>
      <c r="L37" s="7"/>
      <c r="M37" s="14">
        <f>J37-N37</f>
        <v>0</v>
      </c>
      <c r="N37" s="15"/>
      <c r="O37" s="39">
        <f>M37+N37</f>
        <v>0</v>
      </c>
      <c r="P37" s="96"/>
      <c r="Q37" s="3"/>
      <c r="R37" s="36"/>
      <c r="S37" s="36">
        <f>R37+O37</f>
        <v>0</v>
      </c>
      <c r="T37" s="36">
        <f>S37/0.7</f>
        <v>0</v>
      </c>
      <c r="U37" s="40">
        <f>T37/0.875</f>
        <v>0</v>
      </c>
      <c r="V37" s="41" t="e">
        <f>(U37-T37)/U37</f>
        <v>#DIV/0!</v>
      </c>
      <c r="W37" s="40">
        <f>(ROUNDUP((U37/100),0))*100</f>
        <v>0</v>
      </c>
      <c r="X37" s="42" t="e">
        <f>(T37-O37)/T37</f>
        <v>#DIV/0!</v>
      </c>
      <c r="Y37" s="45">
        <v>101500</v>
      </c>
      <c r="Z37" s="46">
        <f>T37-Y37</f>
        <v>-101500</v>
      </c>
      <c r="AA37" s="47">
        <f>Z37/Y37</f>
        <v>-1</v>
      </c>
      <c r="AB37" s="60"/>
      <c r="AC37" s="144" t="s">
        <v>1514</v>
      </c>
      <c r="AD37" s="142"/>
      <c r="AE37" s="142"/>
      <c r="AF37" s="143"/>
      <c r="AG37" s="141"/>
      <c r="AH37" s="141"/>
      <c r="AI37" s="142"/>
      <c r="AJ37" s="142"/>
      <c r="AK37" s="142"/>
      <c r="AL37" s="141"/>
      <c r="AM37" s="142"/>
      <c r="AN37" s="142"/>
      <c r="AO37" s="142"/>
      <c r="AP37" s="141"/>
      <c r="AQ37" s="142"/>
      <c r="AR37" s="142"/>
      <c r="AS37" s="142"/>
      <c r="AT37" s="141"/>
      <c r="AU37" s="142"/>
      <c r="AV37" s="142"/>
      <c r="AW37" s="141"/>
      <c r="AX37" s="142"/>
      <c r="AY37" s="142"/>
      <c r="AZ37" s="142"/>
      <c r="BA37" s="141"/>
      <c r="BB37" s="142"/>
      <c r="BC37" s="142"/>
      <c r="BD37" s="142"/>
      <c r="BE37" s="141"/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2"/>
      <c r="BQ37" s="141"/>
      <c r="BR37" s="142"/>
      <c r="BS37" s="142"/>
      <c r="BT37" s="142"/>
      <c r="BU37" s="141"/>
      <c r="BV37" s="142"/>
      <c r="BW37" s="142"/>
    </row>
    <row r="38" spans="2:76" ht="14.4" customHeight="1">
      <c r="B38" s="4">
        <v>496</v>
      </c>
      <c r="C38" s="5" t="s">
        <v>125</v>
      </c>
      <c r="D38" s="5" t="str">
        <f>REPLACE(C38,1,3, )</f>
        <v xml:space="preserve"> 253</v>
      </c>
      <c r="E38" s="6" t="s">
        <v>125</v>
      </c>
      <c r="F38" s="7">
        <f>IF(C38=E38,0,1)</f>
        <v>0</v>
      </c>
      <c r="G38" s="7" t="s">
        <v>298</v>
      </c>
      <c r="H38" s="11" t="s">
        <v>1508</v>
      </c>
      <c r="I38" s="11" t="s">
        <v>329</v>
      </c>
      <c r="J38" s="12">
        <v>60000</v>
      </c>
      <c r="K38" s="13">
        <f>J38-M38</f>
        <v>3900</v>
      </c>
      <c r="L38" s="7" t="s">
        <v>23</v>
      </c>
      <c r="M38" s="14">
        <f>J38-N38</f>
        <v>56100</v>
      </c>
      <c r="N38" s="14">
        <f>2000+200+350+600+750</f>
        <v>3900</v>
      </c>
      <c r="O38" s="39">
        <f>M38+N38</f>
        <v>60000</v>
      </c>
      <c r="P38" s="94"/>
      <c r="Q38" s="3" t="s">
        <v>371</v>
      </c>
      <c r="R38" s="36"/>
      <c r="S38" s="36">
        <f>R38+O38</f>
        <v>60000</v>
      </c>
      <c r="T38" s="36">
        <f>S38/0.7</f>
        <v>85714.285714285725</v>
      </c>
      <c r="U38" s="40">
        <f>T38/0.875</f>
        <v>97959.183673469393</v>
      </c>
      <c r="V38" s="41">
        <f>(U38-T38)/U38</f>
        <v>0.12499999999999994</v>
      </c>
      <c r="W38" s="40">
        <f>(ROUNDUP((U38/100),0))*100</f>
        <v>98000</v>
      </c>
      <c r="X38" s="42">
        <f>(T38-O38)/T38</f>
        <v>0.3000000000000001</v>
      </c>
      <c r="Y38" s="43"/>
      <c r="Z38" s="43"/>
      <c r="AA38" s="44"/>
      <c r="AB38" s="60"/>
    </row>
    <row r="39" spans="2:76" ht="14.4" customHeight="1">
      <c r="B39" s="4">
        <v>498</v>
      </c>
      <c r="C39" s="5" t="s">
        <v>1373</v>
      </c>
      <c r="D39" s="5" t="str">
        <f>REPLACE(C39,1,3, )</f>
        <v xml:space="preserve"> 189</v>
      </c>
      <c r="E39" s="6" t="s">
        <v>1373</v>
      </c>
      <c r="F39" s="7">
        <f>IF(C39=E39,0,1)</f>
        <v>0</v>
      </c>
      <c r="G39" s="7" t="s">
        <v>298</v>
      </c>
      <c r="H39" s="11" t="s">
        <v>1508</v>
      </c>
      <c r="I39" s="11" t="s">
        <v>329</v>
      </c>
      <c r="J39" s="12">
        <v>60000</v>
      </c>
      <c r="K39" s="13">
        <f>J39-M39</f>
        <v>3900</v>
      </c>
      <c r="L39" s="7" t="s">
        <v>23</v>
      </c>
      <c r="M39" s="14">
        <f>J39-N39</f>
        <v>56100</v>
      </c>
      <c r="N39" s="14">
        <f>2000+200+350+600+750</f>
        <v>3900</v>
      </c>
      <c r="O39" s="39">
        <f>M39+N39</f>
        <v>60000</v>
      </c>
      <c r="P39" s="95"/>
      <c r="Q39" s="3" t="s">
        <v>371</v>
      </c>
      <c r="R39" s="36"/>
      <c r="S39" s="36">
        <f>R39+O39</f>
        <v>60000</v>
      </c>
      <c r="T39" s="36">
        <f>S39/0.7</f>
        <v>85714.285714285725</v>
      </c>
      <c r="U39" s="40">
        <f>T39/0.875</f>
        <v>97959.183673469393</v>
      </c>
      <c r="V39" s="41">
        <f>(U39-T39)/U39</f>
        <v>0.12499999999999994</v>
      </c>
      <c r="W39" s="40">
        <f>(ROUNDUP((U39/100),0))*100</f>
        <v>98000</v>
      </c>
      <c r="X39" s="42">
        <f>(T39-O39)/T39</f>
        <v>0.3000000000000001</v>
      </c>
      <c r="Y39" s="43"/>
      <c r="Z39" s="43"/>
      <c r="AA39" s="44"/>
      <c r="AB39" s="60"/>
      <c r="AC39" s="141"/>
      <c r="AD39" s="142"/>
      <c r="AE39" s="142"/>
      <c r="AF39" s="143"/>
      <c r="AG39" s="141"/>
      <c r="AH39" s="141"/>
      <c r="AI39" s="142"/>
      <c r="AJ39" s="142"/>
      <c r="AK39" s="142"/>
      <c r="AL39" s="141"/>
      <c r="AM39" s="142"/>
      <c r="AN39" s="142"/>
      <c r="AO39" s="142"/>
      <c r="AP39" s="141"/>
      <c r="AQ39" s="142"/>
      <c r="AR39" s="142"/>
      <c r="AS39" s="142"/>
      <c r="AT39" s="141"/>
      <c r="AU39" s="142"/>
      <c r="AV39" s="142"/>
      <c r="AW39" s="141"/>
      <c r="AX39" s="142"/>
      <c r="AY39" s="142"/>
      <c r="AZ39" s="142"/>
      <c r="BA39" s="141"/>
      <c r="BB39" s="142"/>
      <c r="BC39" s="142"/>
      <c r="BD39" s="142"/>
      <c r="BE39" s="141"/>
      <c r="BF39" s="142"/>
      <c r="BG39" s="142"/>
      <c r="BH39" s="142"/>
      <c r="BI39" s="141"/>
      <c r="BJ39" s="142"/>
      <c r="BK39" s="142"/>
      <c r="BL39" s="142"/>
      <c r="BM39" s="141"/>
      <c r="BN39" s="142"/>
      <c r="BO39" s="142"/>
      <c r="BP39" s="142"/>
      <c r="BQ39" s="141"/>
      <c r="BR39" s="142"/>
      <c r="BS39" s="142"/>
      <c r="BT39" s="142"/>
      <c r="BU39" s="141"/>
      <c r="BV39" s="142"/>
      <c r="BW39" s="142"/>
    </row>
    <row r="40" spans="2:76" ht="14.4" customHeight="1">
      <c r="B40" s="4">
        <v>500</v>
      </c>
      <c r="C40" s="5" t="s">
        <v>482</v>
      </c>
      <c r="D40" s="5" t="str">
        <f>REPLACE(C40,1,3, )</f>
        <v xml:space="preserve"> 423</v>
      </c>
      <c r="E40" s="6" t="s">
        <v>482</v>
      </c>
      <c r="F40" s="7">
        <f>IF(C40=E40,0,1)</f>
        <v>0</v>
      </c>
      <c r="G40" s="11" t="s">
        <v>20</v>
      </c>
      <c r="H40" s="11" t="s">
        <v>1508</v>
      </c>
      <c r="I40" s="11" t="s">
        <v>352</v>
      </c>
      <c r="J40" s="12"/>
      <c r="K40" s="13">
        <f>J40-M40</f>
        <v>0</v>
      </c>
      <c r="L40" s="7"/>
      <c r="M40" s="14">
        <f>J40-N40</f>
        <v>0</v>
      </c>
      <c r="N40" s="15"/>
      <c r="O40" s="39">
        <f>M40+N40</f>
        <v>0</v>
      </c>
      <c r="P40" s="96"/>
      <c r="Q40" s="3"/>
      <c r="R40" s="36"/>
      <c r="S40" s="36">
        <f>R40+O40</f>
        <v>0</v>
      </c>
      <c r="T40" s="36">
        <f>S40/0.7</f>
        <v>0</v>
      </c>
      <c r="U40" s="40">
        <f>T40/0.875</f>
        <v>0</v>
      </c>
      <c r="V40" s="41" t="e">
        <f>(U40-T40)/U40</f>
        <v>#DIV/0!</v>
      </c>
      <c r="W40" s="40">
        <f>(ROUNDUP((U40/100),0))*100</f>
        <v>0</v>
      </c>
      <c r="X40" s="42" t="e">
        <f>(T40-O40)/T40</f>
        <v>#DIV/0!</v>
      </c>
      <c r="Y40" s="45">
        <v>86713</v>
      </c>
      <c r="Z40" s="46">
        <f>T40-Y40</f>
        <v>-86713</v>
      </c>
      <c r="AA40" s="47">
        <f>Z40/Y40</f>
        <v>-1</v>
      </c>
      <c r="AB40" s="159" t="s">
        <v>1528</v>
      </c>
      <c r="AC40" s="145">
        <v>95062.500000000015</v>
      </c>
      <c r="AD40" s="167">
        <v>93662.337662337683</v>
      </c>
      <c r="AE40" s="147">
        <v>83869</v>
      </c>
      <c r="AF40" s="168">
        <v>1.4949043261231218E-2</v>
      </c>
      <c r="AG40" s="149">
        <v>71500</v>
      </c>
      <c r="AH40" s="155">
        <v>68460</v>
      </c>
      <c r="AI40" s="146">
        <v>68807.142857142855</v>
      </c>
      <c r="AJ40" s="146">
        <v>66683</v>
      </c>
      <c r="AK40" s="151"/>
      <c r="AL40" s="155">
        <v>76807</v>
      </c>
      <c r="AM40" s="146">
        <v>72152.857142857145</v>
      </c>
      <c r="AN40" s="146">
        <v>74800</v>
      </c>
      <c r="AO40" s="151"/>
      <c r="AP40" s="149"/>
      <c r="AQ40" s="151"/>
      <c r="AR40" s="151"/>
      <c r="AS40" s="151"/>
      <c r="AT40" s="149"/>
      <c r="AU40" s="151"/>
      <c r="AV40" s="151"/>
      <c r="AW40" s="149"/>
      <c r="AX40" s="151"/>
      <c r="AY40" s="151"/>
      <c r="AZ40" s="151"/>
      <c r="BA40" s="149"/>
      <c r="BB40" s="151"/>
      <c r="BC40" s="151"/>
      <c r="BD40" s="151"/>
      <c r="BE40" s="149"/>
      <c r="BF40" s="151"/>
      <c r="BG40" s="151"/>
      <c r="BH40" s="151">
        <v>103000</v>
      </c>
      <c r="BI40" s="156">
        <v>99333</v>
      </c>
      <c r="BJ40" s="146">
        <v>92000</v>
      </c>
      <c r="BK40" s="146">
        <v>83667</v>
      </c>
      <c r="BL40" s="151"/>
      <c r="BM40" s="169"/>
      <c r="BN40" s="146">
        <v>87911.42857142858</v>
      </c>
      <c r="BO40" s="146">
        <v>87031</v>
      </c>
      <c r="BP40" s="151"/>
      <c r="BQ40" s="155">
        <v>88855</v>
      </c>
      <c r="BR40" s="146">
        <v>86344</v>
      </c>
      <c r="BS40" s="146">
        <v>86344</v>
      </c>
      <c r="BT40" s="151"/>
      <c r="BU40" s="169"/>
      <c r="BV40" s="151"/>
      <c r="BW40" s="151"/>
      <c r="BX40" s="153"/>
    </row>
    <row r="41" spans="2:76" ht="14.4" customHeight="1">
      <c r="B41" s="4">
        <v>495</v>
      </c>
      <c r="C41" s="38" t="s">
        <v>790</v>
      </c>
      <c r="D41" s="5" t="str">
        <f>REPLACE(C41,1,3, )</f>
        <v xml:space="preserve"> 911</v>
      </c>
      <c r="E41" s="6" t="s">
        <v>790</v>
      </c>
      <c r="F41" s="7">
        <f>IF(C41=E41,0,1)</f>
        <v>0</v>
      </c>
      <c r="G41" s="8" t="s">
        <v>20</v>
      </c>
      <c r="H41" s="8" t="s">
        <v>1507</v>
      </c>
      <c r="I41" s="8" t="s">
        <v>491</v>
      </c>
      <c r="J41" s="12"/>
      <c r="K41" s="13">
        <f>J41-M41</f>
        <v>0</v>
      </c>
      <c r="L41" s="7"/>
      <c r="M41" s="14">
        <f>J41-N41</f>
        <v>0</v>
      </c>
      <c r="N41" s="15"/>
      <c r="O41" s="39">
        <f>M41+N41</f>
        <v>0</v>
      </c>
      <c r="P41" s="96"/>
      <c r="Q41" s="3"/>
      <c r="R41" s="36"/>
      <c r="S41" s="36">
        <f>R41+O41</f>
        <v>0</v>
      </c>
      <c r="T41" s="36">
        <f>S41/0.7</f>
        <v>0</v>
      </c>
      <c r="U41" s="40">
        <f>T41/0.875</f>
        <v>0</v>
      </c>
      <c r="V41" s="41" t="e">
        <f>(U41-T41)/U41</f>
        <v>#DIV/0!</v>
      </c>
      <c r="W41" s="40">
        <f>(ROUNDUP((U41/100),0))*100</f>
        <v>0</v>
      </c>
      <c r="X41" s="42" t="e">
        <f>(T41-O41)/T41</f>
        <v>#DIV/0!</v>
      </c>
      <c r="Y41" s="45">
        <v>110075</v>
      </c>
      <c r="Z41" s="46">
        <f>T41-Y41</f>
        <v>-110075</v>
      </c>
      <c r="AA41" s="47">
        <f>Z41/Y41</f>
        <v>-1</v>
      </c>
      <c r="AB41" s="159" t="s">
        <v>1529</v>
      </c>
      <c r="AC41" s="145">
        <v>110000</v>
      </c>
      <c r="AD41" s="151"/>
      <c r="AE41" s="151"/>
      <c r="AF41" s="152"/>
      <c r="AG41" s="149"/>
      <c r="AH41" s="149"/>
      <c r="AI41" s="151"/>
      <c r="AJ41" s="151"/>
      <c r="AK41" s="151"/>
      <c r="AL41" s="149"/>
      <c r="AM41" s="151"/>
      <c r="AN41" s="151"/>
      <c r="AO41" s="151"/>
      <c r="AP41" s="149"/>
      <c r="AQ41" s="151"/>
      <c r="AR41" s="151"/>
      <c r="AS41" s="151"/>
      <c r="AT41" s="149"/>
      <c r="AU41" s="151"/>
      <c r="AV41" s="151"/>
      <c r="AW41" s="149"/>
      <c r="AX41" s="151"/>
      <c r="AY41" s="151"/>
      <c r="AZ41" s="151"/>
      <c r="BA41" s="149"/>
      <c r="BB41" s="151"/>
      <c r="BC41" s="151"/>
      <c r="BD41" s="151"/>
      <c r="BE41" s="149"/>
      <c r="BF41" s="151"/>
      <c r="BG41" s="151"/>
      <c r="BH41" s="151">
        <v>146667</v>
      </c>
      <c r="BI41" s="149"/>
      <c r="BJ41" s="151"/>
      <c r="BK41" s="151"/>
      <c r="BL41" s="151"/>
      <c r="BM41" s="149"/>
      <c r="BN41" s="151"/>
      <c r="BO41" s="151"/>
      <c r="BP41" s="151"/>
      <c r="BQ41" s="162">
        <v>109350</v>
      </c>
      <c r="BR41" s="151"/>
      <c r="BS41" s="151"/>
      <c r="BT41" s="151"/>
      <c r="BU41" s="149"/>
      <c r="BV41" s="151"/>
      <c r="BW41" s="151"/>
      <c r="BX41" s="153"/>
    </row>
    <row r="42" spans="2:76" ht="14.4" customHeight="1">
      <c r="B42" s="4">
        <v>497</v>
      </c>
      <c r="C42" s="5" t="s">
        <v>251</v>
      </c>
      <c r="D42" s="5" t="str">
        <f>REPLACE(C42,1,3, )</f>
        <v xml:space="preserve"> 346</v>
      </c>
      <c r="E42" s="6" t="s">
        <v>251</v>
      </c>
      <c r="F42" s="7">
        <f>IF(C42=E42,0,1)</f>
        <v>0</v>
      </c>
      <c r="G42" s="11" t="s">
        <v>298</v>
      </c>
      <c r="H42" s="11" t="s">
        <v>1530</v>
      </c>
      <c r="I42" s="11" t="s">
        <v>359</v>
      </c>
      <c r="J42" s="12">
        <f>M42</f>
        <v>79000</v>
      </c>
      <c r="K42" s="13">
        <f>J42-M42</f>
        <v>0</v>
      </c>
      <c r="L42" s="17" t="s">
        <v>22</v>
      </c>
      <c r="M42" s="18">
        <v>79000</v>
      </c>
      <c r="N42" s="15">
        <f>2000+200+350+600+300+800</f>
        <v>4250</v>
      </c>
      <c r="O42" s="39">
        <f>M42+N42</f>
        <v>83250</v>
      </c>
      <c r="P42" s="95"/>
      <c r="Q42" s="3" t="s">
        <v>443</v>
      </c>
      <c r="R42" s="36"/>
      <c r="S42" s="36">
        <f>R42+O42</f>
        <v>83250</v>
      </c>
      <c r="T42" s="36">
        <f>S42/0.7</f>
        <v>118928.57142857143</v>
      </c>
      <c r="U42" s="40">
        <f>T42/0.875</f>
        <v>135918.36734693879</v>
      </c>
      <c r="V42" s="41">
        <f>(U42-T42)/U42</f>
        <v>0.12500000000000003</v>
      </c>
      <c r="W42" s="40">
        <f>(ROUNDUP((U42/100),0))*100</f>
        <v>136000</v>
      </c>
      <c r="X42" s="42">
        <f>(T42-O42)/T42</f>
        <v>0.30000000000000004</v>
      </c>
      <c r="Y42" s="43"/>
      <c r="Z42" s="43"/>
      <c r="AA42" s="44"/>
      <c r="AB42" s="60"/>
      <c r="AC42" s="144" t="s">
        <v>1514</v>
      </c>
      <c r="AD42" s="142"/>
      <c r="AE42" s="142"/>
      <c r="AF42" s="143"/>
      <c r="AG42" s="166"/>
      <c r="AH42" s="141"/>
      <c r="AI42" s="142"/>
      <c r="AJ42" s="142"/>
      <c r="AK42" s="142"/>
      <c r="AL42" s="141"/>
      <c r="AM42" s="142"/>
      <c r="AN42" s="142"/>
      <c r="AO42" s="142"/>
      <c r="AP42" s="141"/>
      <c r="AQ42" s="142"/>
      <c r="AR42" s="142"/>
      <c r="AS42" s="142"/>
      <c r="AT42" s="141"/>
      <c r="AU42" s="142"/>
      <c r="AV42" s="142"/>
      <c r="AW42" s="141"/>
      <c r="AX42" s="142"/>
      <c r="AY42" s="142"/>
      <c r="AZ42" s="142"/>
      <c r="BA42" s="141"/>
      <c r="BB42" s="142"/>
      <c r="BC42" s="142"/>
      <c r="BD42" s="142"/>
      <c r="BE42" s="141"/>
      <c r="BF42" s="142"/>
      <c r="BG42" s="142"/>
      <c r="BH42" s="166"/>
      <c r="BI42" s="141"/>
      <c r="BJ42" s="142"/>
      <c r="BK42" s="142"/>
      <c r="BL42" s="142"/>
      <c r="BM42" s="141"/>
      <c r="BN42" s="142"/>
      <c r="BO42" s="142"/>
      <c r="BP42" s="142"/>
      <c r="BQ42" s="141"/>
      <c r="BR42" s="142"/>
      <c r="BS42" s="142"/>
      <c r="BT42" s="142"/>
      <c r="BU42" s="141"/>
      <c r="BV42" s="142"/>
      <c r="BW42" s="142"/>
    </row>
    <row r="43" spans="2:76" ht="14.4" customHeight="1">
      <c r="B43" s="4">
        <v>494</v>
      </c>
      <c r="C43" s="38" t="s">
        <v>788</v>
      </c>
      <c r="D43" s="5" t="str">
        <f>REPLACE(C43,1,3, )</f>
        <v xml:space="preserve"> 181</v>
      </c>
      <c r="E43" s="6" t="s">
        <v>788</v>
      </c>
      <c r="F43" s="7">
        <f>IF(C43=E43,0,1)</f>
        <v>0</v>
      </c>
      <c r="G43" s="8" t="s">
        <v>20</v>
      </c>
      <c r="H43" s="8" t="s">
        <v>1506</v>
      </c>
      <c r="I43" s="8" t="s">
        <v>628</v>
      </c>
      <c r="J43" s="87">
        <v>48000</v>
      </c>
      <c r="K43" s="87">
        <f>J43-M43</f>
        <v>0</v>
      </c>
      <c r="L43" s="184" t="s">
        <v>22</v>
      </c>
      <c r="M43" s="86">
        <f>J43</f>
        <v>48000</v>
      </c>
      <c r="N43" s="87">
        <f>2000+650+800+200+300</f>
        <v>3950</v>
      </c>
      <c r="O43" s="101">
        <f>M43+N43</f>
        <v>51950</v>
      </c>
      <c r="P43" s="95"/>
      <c r="Q43" s="88" t="s">
        <v>1422</v>
      </c>
      <c r="R43" s="36"/>
      <c r="S43" s="36">
        <f>R43+O43</f>
        <v>51950</v>
      </c>
      <c r="T43" s="36">
        <f>S43/0.7</f>
        <v>74214.285714285725</v>
      </c>
      <c r="U43" s="40">
        <f>T43/0.875</f>
        <v>84816.326530612263</v>
      </c>
      <c r="V43" s="41">
        <f>(U43-T43)/U43</f>
        <v>0.12500000000000006</v>
      </c>
      <c r="W43" s="40">
        <f>(ROUNDUP((U43/100),0))*100</f>
        <v>84900</v>
      </c>
      <c r="X43" s="42">
        <f>(T43-O43)/T43</f>
        <v>0.3000000000000001</v>
      </c>
      <c r="Y43" s="45">
        <v>74288</v>
      </c>
      <c r="Z43" s="46">
        <f>T43-Y43</f>
        <v>-73.71428571427532</v>
      </c>
      <c r="AA43" s="47">
        <f>Z43/Y43</f>
        <v>-9.9227716070260765E-4</v>
      </c>
      <c r="AB43" s="60"/>
      <c r="AC43" s="144" t="s">
        <v>1514</v>
      </c>
      <c r="BH43" s="166"/>
    </row>
    <row r="44" spans="2:76" ht="14.4" customHeight="1">
      <c r="B44" s="4">
        <v>88</v>
      </c>
      <c r="C44" s="5" t="s">
        <v>150</v>
      </c>
      <c r="D44" s="5" t="str">
        <f>REPLACE(C44,1,3, )</f>
        <v xml:space="preserve"> 139</v>
      </c>
      <c r="E44" s="6" t="s">
        <v>150</v>
      </c>
      <c r="F44" s="7">
        <f>IF(C44=E44,0,1)</f>
        <v>0</v>
      </c>
      <c r="G44" s="11" t="s">
        <v>298</v>
      </c>
      <c r="H44" s="11" t="s">
        <v>309</v>
      </c>
      <c r="I44" s="11" t="s">
        <v>335</v>
      </c>
      <c r="J44" s="12">
        <v>80000</v>
      </c>
      <c r="K44" s="13">
        <f>J44-M44</f>
        <v>2800</v>
      </c>
      <c r="L44" s="7" t="s">
        <v>23</v>
      </c>
      <c r="M44" s="14">
        <f>J44-N44</f>
        <v>77200</v>
      </c>
      <c r="N44" s="14">
        <f>2000+200+600</f>
        <v>2800</v>
      </c>
      <c r="O44" s="39">
        <f>M44+N44</f>
        <v>80000</v>
      </c>
      <c r="P44" s="96"/>
      <c r="Q44" s="3" t="s">
        <v>390</v>
      </c>
      <c r="R44" s="36">
        <v>5000</v>
      </c>
      <c r="S44" s="36">
        <f>R44+O44</f>
        <v>85000</v>
      </c>
      <c r="T44" s="36">
        <f>S44/0.7</f>
        <v>121428.57142857143</v>
      </c>
      <c r="U44" s="40">
        <f>T44/0.875</f>
        <v>138775.51020408163</v>
      </c>
      <c r="V44" s="41">
        <f>(U44-T44)/U44</f>
        <v>0.12499999999999992</v>
      </c>
      <c r="W44" s="40">
        <f>(ROUNDUP((U44/100),0))*100</f>
        <v>138800</v>
      </c>
      <c r="X44" s="42">
        <f>(T44-O44)/T44</f>
        <v>0.3411764705882353</v>
      </c>
      <c r="Y44" s="43"/>
      <c r="Z44" s="43"/>
      <c r="AA44" s="44"/>
      <c r="AB44" s="60"/>
    </row>
    <row r="45" spans="2:76" ht="14.4" customHeight="1">
      <c r="B45" s="4">
        <v>89</v>
      </c>
      <c r="C45" s="5" t="s">
        <v>149</v>
      </c>
      <c r="D45" s="5" t="str">
        <f>REPLACE(C45,1,3, )</f>
        <v xml:space="preserve"> 426</v>
      </c>
      <c r="E45" s="6" t="s">
        <v>149</v>
      </c>
      <c r="F45" s="7">
        <f>IF(C45=E45,0,1)</f>
        <v>0</v>
      </c>
      <c r="G45" s="11" t="s">
        <v>298</v>
      </c>
      <c r="H45" s="11" t="s">
        <v>309</v>
      </c>
      <c r="I45" s="11" t="s">
        <v>335</v>
      </c>
      <c r="J45" s="12">
        <v>80000</v>
      </c>
      <c r="K45" s="13">
        <f>J45-M45</f>
        <v>2800</v>
      </c>
      <c r="L45" s="7" t="s">
        <v>23</v>
      </c>
      <c r="M45" s="14">
        <f>J45-N45</f>
        <v>77200</v>
      </c>
      <c r="N45" s="14">
        <f>2000+200+600</f>
        <v>2800</v>
      </c>
      <c r="O45" s="39">
        <f>M45+N45</f>
        <v>80000</v>
      </c>
      <c r="P45" s="96"/>
      <c r="Q45" s="3" t="s">
        <v>390</v>
      </c>
      <c r="R45" s="36">
        <v>5000</v>
      </c>
      <c r="S45" s="36">
        <f>R45+O45</f>
        <v>85000</v>
      </c>
      <c r="T45" s="36">
        <f>S45/0.7</f>
        <v>121428.57142857143</v>
      </c>
      <c r="U45" s="40">
        <f>T45/0.875</f>
        <v>138775.51020408163</v>
      </c>
      <c r="V45" s="41">
        <f>(U45-T45)/U45</f>
        <v>0.12499999999999992</v>
      </c>
      <c r="W45" s="40">
        <f>(ROUNDUP((U45/100),0))*100</f>
        <v>138800</v>
      </c>
      <c r="X45" s="42">
        <f>(T45-O45)/T45</f>
        <v>0.3411764705882353</v>
      </c>
      <c r="Y45" s="43"/>
      <c r="Z45" s="43"/>
      <c r="AA45" s="44"/>
      <c r="AB45" s="159" t="s">
        <v>1531</v>
      </c>
      <c r="AC45" s="145">
        <v>121428.57142857142</v>
      </c>
      <c r="AD45" s="146">
        <v>116642.85714285714</v>
      </c>
      <c r="AE45" s="147">
        <v>114857</v>
      </c>
      <c r="AF45" s="148">
        <v>4.1028781383955819E-2</v>
      </c>
      <c r="AG45" s="149"/>
      <c r="AH45" s="149"/>
      <c r="AI45" s="151"/>
      <c r="AJ45" s="151"/>
      <c r="AK45" s="151"/>
      <c r="AL45" s="149"/>
      <c r="AM45" s="151"/>
      <c r="AN45" s="151"/>
      <c r="AO45" s="151"/>
      <c r="AP45" s="149"/>
      <c r="AQ45" s="151"/>
      <c r="AR45" s="151"/>
      <c r="AS45" s="151"/>
      <c r="AT45" s="149"/>
      <c r="AU45" s="151"/>
      <c r="AV45" s="151"/>
      <c r="AW45" s="151"/>
      <c r="AX45" s="151"/>
      <c r="AY45" s="151"/>
      <c r="AZ45" s="151">
        <v>144180</v>
      </c>
      <c r="BA45" s="155">
        <v>153306</v>
      </c>
      <c r="BB45" s="151"/>
      <c r="BC45" s="147">
        <v>116640</v>
      </c>
      <c r="BD45" s="154"/>
      <c r="BE45" s="149"/>
      <c r="BF45" s="151"/>
      <c r="BG45" s="151"/>
      <c r="BH45" s="151"/>
      <c r="BI45" s="149"/>
      <c r="BJ45" s="151"/>
      <c r="BK45" s="151"/>
      <c r="BL45" s="151"/>
      <c r="BM45" s="149"/>
      <c r="BN45" s="147">
        <v>116071.42857142858</v>
      </c>
      <c r="BO45" s="147">
        <v>110440</v>
      </c>
      <c r="BP45" s="154"/>
      <c r="BQ45" s="149"/>
      <c r="BR45" s="147">
        <v>93037.14285714287</v>
      </c>
      <c r="BS45" s="147">
        <v>106650</v>
      </c>
      <c r="BT45" s="154"/>
      <c r="BU45" s="149"/>
      <c r="BV45" s="151"/>
      <c r="BW45" s="151"/>
      <c r="BX45" s="153"/>
    </row>
    <row r="46" spans="2:76" ht="14.4" customHeight="1">
      <c r="B46" s="4">
        <v>90</v>
      </c>
      <c r="C46" s="5" t="s">
        <v>27</v>
      </c>
      <c r="D46" s="5" t="str">
        <f>REPLACE(C46,1,3, )</f>
        <v xml:space="preserve"> 923</v>
      </c>
      <c r="E46" s="6" t="s">
        <v>27</v>
      </c>
      <c r="F46" s="7">
        <f>IF(C46=E46,0,1)</f>
        <v>0</v>
      </c>
      <c r="G46" s="11" t="s">
        <v>20</v>
      </c>
      <c r="H46" s="11" t="s">
        <v>309</v>
      </c>
      <c r="I46" s="11" t="s">
        <v>350</v>
      </c>
      <c r="J46" s="12">
        <v>90000</v>
      </c>
      <c r="K46" s="13">
        <f>J46-M46</f>
        <v>3750</v>
      </c>
      <c r="L46" s="7" t="s">
        <v>23</v>
      </c>
      <c r="M46" s="14">
        <f>J46-N46</f>
        <v>86250</v>
      </c>
      <c r="N46" s="15">
        <f>2000+200+200+600+750</f>
        <v>3750</v>
      </c>
      <c r="O46" s="39">
        <f>M46+N46</f>
        <v>90000</v>
      </c>
      <c r="P46" s="96"/>
      <c r="Q46" s="3" t="s">
        <v>414</v>
      </c>
      <c r="R46" s="36"/>
      <c r="S46" s="36">
        <f>R46+O46</f>
        <v>90000</v>
      </c>
      <c r="T46" s="36">
        <f>S46/0.7</f>
        <v>128571.42857142858</v>
      </c>
      <c r="U46" s="40">
        <f>T46/0.875</f>
        <v>146938.77551020408</v>
      </c>
      <c r="V46" s="41">
        <f>(U46-T46)/U46</f>
        <v>0.12499999999999994</v>
      </c>
      <c r="W46" s="40">
        <f>(ROUNDUP((U46/100),0))*100</f>
        <v>147000</v>
      </c>
      <c r="X46" s="42">
        <f>(T46-O46)/T46</f>
        <v>0.30000000000000004</v>
      </c>
      <c r="Y46" s="45">
        <v>107188</v>
      </c>
      <c r="Z46" s="46">
        <f>T46-Y46</f>
        <v>21383.42857142858</v>
      </c>
      <c r="AA46" s="47">
        <f>Z46/Y46</f>
        <v>0.19949461293641621</v>
      </c>
      <c r="AB46" s="60"/>
      <c r="AC46" s="142"/>
      <c r="AD46" s="142"/>
      <c r="AE46" s="142"/>
      <c r="AF46" s="143"/>
      <c r="AG46" s="141"/>
      <c r="AH46" s="142"/>
      <c r="AI46" s="142"/>
      <c r="AJ46" s="142"/>
      <c r="AK46" s="142"/>
      <c r="AL46" s="141"/>
      <c r="AM46" s="142"/>
      <c r="AN46" s="142"/>
      <c r="AO46" s="142"/>
      <c r="AP46" s="141"/>
      <c r="AQ46" s="142"/>
      <c r="AR46" s="142"/>
      <c r="AS46" s="142"/>
      <c r="AT46" s="141"/>
      <c r="AU46" s="142"/>
      <c r="AV46" s="142"/>
      <c r="AW46" s="141"/>
      <c r="AX46" s="142"/>
      <c r="AY46" s="142"/>
      <c r="AZ46" s="142"/>
      <c r="BA46" s="141"/>
      <c r="BB46" s="142"/>
      <c r="BC46" s="142"/>
      <c r="BD46" s="142"/>
      <c r="BE46" s="141"/>
      <c r="BF46" s="142"/>
      <c r="BG46" s="142"/>
      <c r="BH46" s="142"/>
      <c r="BI46" s="141"/>
      <c r="BJ46" s="142"/>
      <c r="BK46" s="142"/>
      <c r="BL46" s="142"/>
      <c r="BM46" s="141"/>
      <c r="BN46" s="142"/>
      <c r="BO46" s="142"/>
      <c r="BP46" s="142"/>
      <c r="BQ46" s="141"/>
      <c r="BR46" s="142"/>
      <c r="BS46" s="142"/>
      <c r="BT46" s="142"/>
      <c r="BU46" s="141"/>
      <c r="BV46" s="142"/>
      <c r="BW46" s="142"/>
    </row>
    <row r="47" spans="2:76" ht="14.4" customHeight="1">
      <c r="B47" s="4">
        <v>484</v>
      </c>
      <c r="C47" s="38" t="s">
        <v>781</v>
      </c>
      <c r="D47" s="5" t="str">
        <f>REPLACE(C47,1,3, )</f>
        <v xml:space="preserve"> 584</v>
      </c>
      <c r="E47" s="6" t="s">
        <v>781</v>
      </c>
      <c r="F47" s="7">
        <f>IF(C47=E47,0,1)</f>
        <v>0</v>
      </c>
      <c r="G47" s="8" t="s">
        <v>298</v>
      </c>
      <c r="H47" s="8" t="s">
        <v>1501</v>
      </c>
      <c r="I47" s="8" t="s">
        <v>686</v>
      </c>
      <c r="J47" s="12">
        <v>70000</v>
      </c>
      <c r="K47" s="13">
        <f>J47-M47</f>
        <v>4250</v>
      </c>
      <c r="L47" s="7" t="s">
        <v>23</v>
      </c>
      <c r="M47" s="14">
        <f>J47-N47</f>
        <v>65750</v>
      </c>
      <c r="N47" s="15">
        <f>2000+200+350+600+300+800</f>
        <v>4250</v>
      </c>
      <c r="O47" s="39">
        <f>M47+N47</f>
        <v>70000</v>
      </c>
      <c r="P47" s="96"/>
      <c r="Q47" s="77" t="s">
        <v>1370</v>
      </c>
      <c r="R47" s="36"/>
      <c r="S47" s="36">
        <f>R47+O47</f>
        <v>70000</v>
      </c>
      <c r="T47" s="36">
        <f>S47/0.7</f>
        <v>100000</v>
      </c>
      <c r="U47" s="40">
        <f>T47/0.875</f>
        <v>114285.71428571429</v>
      </c>
      <c r="V47" s="41">
        <f>(U47-T47)/U47</f>
        <v>0.12500000000000003</v>
      </c>
      <c r="W47" s="40">
        <f>(ROUNDUP((U47/100),0))*100</f>
        <v>114300</v>
      </c>
      <c r="X47" s="42">
        <f>(T47-O47)/T47</f>
        <v>0.3</v>
      </c>
      <c r="Y47" s="43"/>
      <c r="Z47" s="43"/>
      <c r="AA47" s="43"/>
      <c r="AB47" s="59"/>
    </row>
    <row r="48" spans="2:76" ht="14.4" customHeight="1">
      <c r="B48" s="4">
        <v>485</v>
      </c>
      <c r="C48" s="5" t="s">
        <v>216</v>
      </c>
      <c r="D48" s="5" t="str">
        <f>REPLACE(C48,1,3, )</f>
        <v xml:space="preserve"> 589</v>
      </c>
      <c r="E48" s="6" t="s">
        <v>216</v>
      </c>
      <c r="F48" s="7">
        <f>IF(C48=E48,0,1)</f>
        <v>0</v>
      </c>
      <c r="G48" s="11" t="s">
        <v>298</v>
      </c>
      <c r="H48" s="11" t="s">
        <v>1501</v>
      </c>
      <c r="I48" s="11" t="s">
        <v>352</v>
      </c>
      <c r="J48" s="12">
        <v>72500</v>
      </c>
      <c r="K48" s="13">
        <f>J48-M48</f>
        <v>4250</v>
      </c>
      <c r="L48" s="7" t="s">
        <v>23</v>
      </c>
      <c r="M48" s="14">
        <f>J48-N48</f>
        <v>68250</v>
      </c>
      <c r="N48" s="15">
        <f>2000+200+350+600+300+800</f>
        <v>4250</v>
      </c>
      <c r="O48" s="39">
        <f>M48+N48</f>
        <v>72500</v>
      </c>
      <c r="P48" s="95"/>
      <c r="Q48" s="3" t="s">
        <v>419</v>
      </c>
      <c r="R48" s="36"/>
      <c r="S48" s="36">
        <f>R48+O48</f>
        <v>72500</v>
      </c>
      <c r="T48" s="36">
        <f>S48/0.7</f>
        <v>103571.42857142858</v>
      </c>
      <c r="U48" s="40">
        <f>T48/0.875</f>
        <v>118367.34693877552</v>
      </c>
      <c r="V48" s="41">
        <f>(U48-T48)/U48</f>
        <v>0.12499999999999999</v>
      </c>
      <c r="W48" s="40">
        <f>(ROUNDUP((U48/100),0))*100</f>
        <v>118400</v>
      </c>
      <c r="X48" s="42">
        <f>(T48-O48)/T48</f>
        <v>0.30000000000000004</v>
      </c>
      <c r="Y48" s="43"/>
      <c r="Z48" s="43"/>
      <c r="AA48" s="43"/>
      <c r="AB48" s="59"/>
    </row>
    <row r="49" spans="2:76" ht="14.4" customHeight="1">
      <c r="B49" s="4">
        <v>486</v>
      </c>
      <c r="C49" s="5" t="s">
        <v>217</v>
      </c>
      <c r="D49" s="5" t="str">
        <f>REPLACE(C49,1,3, )</f>
        <v xml:space="preserve"> 992</v>
      </c>
      <c r="E49" s="6" t="s">
        <v>217</v>
      </c>
      <c r="F49" s="7">
        <f>IF(C49=E49,0,1)</f>
        <v>0</v>
      </c>
      <c r="G49" s="11" t="s">
        <v>298</v>
      </c>
      <c r="H49" s="11" t="s">
        <v>1501</v>
      </c>
      <c r="I49" s="11" t="s">
        <v>352</v>
      </c>
      <c r="J49" s="12">
        <v>72500</v>
      </c>
      <c r="K49" s="13">
        <f>J49-M49</f>
        <v>4250</v>
      </c>
      <c r="L49" s="7" t="s">
        <v>23</v>
      </c>
      <c r="M49" s="14">
        <f>J49-N49</f>
        <v>68250</v>
      </c>
      <c r="N49" s="15">
        <f>2000+200+350+600+300+800</f>
        <v>4250</v>
      </c>
      <c r="O49" s="39">
        <f>M49+N49</f>
        <v>72500</v>
      </c>
      <c r="P49" s="95"/>
      <c r="Q49" s="3" t="s">
        <v>419</v>
      </c>
      <c r="R49" s="36"/>
      <c r="S49" s="36">
        <f>R49+O49</f>
        <v>72500</v>
      </c>
      <c r="T49" s="36">
        <f>S49/0.7</f>
        <v>103571.42857142858</v>
      </c>
      <c r="U49" s="40">
        <f>T49/0.875</f>
        <v>118367.34693877552</v>
      </c>
      <c r="V49" s="41">
        <f>(U49-T49)/U49</f>
        <v>0.12499999999999999</v>
      </c>
      <c r="W49" s="40">
        <f>(ROUNDUP((U49/100),0))*100</f>
        <v>118400</v>
      </c>
      <c r="X49" s="42">
        <f>(T49-O49)/T49</f>
        <v>0.30000000000000004</v>
      </c>
      <c r="Y49" s="43"/>
      <c r="Z49" s="43"/>
      <c r="AA49" s="43"/>
      <c r="AB49" s="59"/>
      <c r="AC49" s="144" t="s">
        <v>1514</v>
      </c>
    </row>
    <row r="50" spans="2:76" ht="14.4" customHeight="1">
      <c r="B50" s="4">
        <v>483</v>
      </c>
      <c r="C50" s="38" t="s">
        <v>780</v>
      </c>
      <c r="D50" s="5" t="str">
        <f>REPLACE(C50,1,3, )</f>
        <v xml:space="preserve"> 513</v>
      </c>
      <c r="E50" s="6" t="s">
        <v>780</v>
      </c>
      <c r="F50" s="7">
        <f>IF(C50=E50,0,1)</f>
        <v>0</v>
      </c>
      <c r="G50" s="8" t="s">
        <v>298</v>
      </c>
      <c r="H50" s="8" t="s">
        <v>1500</v>
      </c>
      <c r="I50" s="8" t="s">
        <v>686</v>
      </c>
      <c r="J50" s="12">
        <v>68000</v>
      </c>
      <c r="K50" s="13">
        <f>J50-M50</f>
        <v>4250</v>
      </c>
      <c r="L50" s="7" t="s">
        <v>23</v>
      </c>
      <c r="M50" s="14">
        <f>J50-N50</f>
        <v>63750</v>
      </c>
      <c r="N50" s="15">
        <f>2000+200+350+600+300+800</f>
        <v>4250</v>
      </c>
      <c r="O50" s="39">
        <f>M50+N50</f>
        <v>68000</v>
      </c>
      <c r="P50" s="96"/>
      <c r="Q50" s="77" t="s">
        <v>1370</v>
      </c>
      <c r="R50" s="36"/>
      <c r="S50" s="36">
        <f>R50+O50</f>
        <v>68000</v>
      </c>
      <c r="T50" s="36">
        <f>S50/0.7</f>
        <v>97142.857142857145</v>
      </c>
      <c r="U50" s="40">
        <f>T50/0.875</f>
        <v>111020.40816326531</v>
      </c>
      <c r="V50" s="41">
        <f>(U50-T50)/U50</f>
        <v>0.12500000000000003</v>
      </c>
      <c r="W50" s="40">
        <f>(ROUNDUP((U50/100),0))*100</f>
        <v>111100</v>
      </c>
      <c r="X50" s="42">
        <f>(T50-O50)/T50</f>
        <v>0.3</v>
      </c>
      <c r="Y50" s="43"/>
      <c r="Z50" s="43"/>
      <c r="AA50" s="43"/>
      <c r="AB50" s="59"/>
      <c r="AC50" s="144" t="s">
        <v>1514</v>
      </c>
    </row>
    <row r="51" spans="2:76" ht="14.4" customHeight="1">
      <c r="B51" s="4">
        <v>488</v>
      </c>
      <c r="C51" s="38" t="s">
        <v>782</v>
      </c>
      <c r="D51" s="5" t="str">
        <f>REPLACE(C51,1,3, )</f>
        <v xml:space="preserve"> 966</v>
      </c>
      <c r="E51" s="6" t="s">
        <v>782</v>
      </c>
      <c r="F51" s="7">
        <f>IF(C51=E51,0,1)</f>
        <v>0</v>
      </c>
      <c r="G51" s="8" t="s">
        <v>298</v>
      </c>
      <c r="H51" s="8" t="s">
        <v>1502</v>
      </c>
      <c r="I51" s="8" t="s">
        <v>666</v>
      </c>
      <c r="J51" s="12">
        <v>69000</v>
      </c>
      <c r="K51" s="13">
        <f>J51-M51</f>
        <v>4250</v>
      </c>
      <c r="L51" s="7" t="s">
        <v>23</v>
      </c>
      <c r="M51" s="14">
        <f>J51-N51</f>
        <v>64750</v>
      </c>
      <c r="N51" s="15">
        <f>2000+200+350+600+300+800</f>
        <v>4250</v>
      </c>
      <c r="O51" s="39">
        <f>M51+N51</f>
        <v>69000</v>
      </c>
      <c r="P51" s="95"/>
      <c r="Q51" s="3"/>
      <c r="R51" s="36"/>
      <c r="S51" s="36">
        <f>R51+O51</f>
        <v>69000</v>
      </c>
      <c r="T51" s="36">
        <f>S51/0.7</f>
        <v>98571.42857142858</v>
      </c>
      <c r="U51" s="40">
        <f>T51/0.875</f>
        <v>112653.06122448981</v>
      </c>
      <c r="V51" s="41">
        <f>(U51-T51)/U51</f>
        <v>0.12500000000000003</v>
      </c>
      <c r="W51" s="40">
        <f>(ROUNDUP((U51/100),0))*100</f>
        <v>112700</v>
      </c>
      <c r="X51" s="42">
        <f>(T51-O51)/T51</f>
        <v>0.30000000000000004</v>
      </c>
      <c r="Y51" s="45"/>
      <c r="Z51" s="46"/>
      <c r="AA51" s="47"/>
      <c r="AB51" s="60"/>
      <c r="AC51" s="144" t="s">
        <v>1514</v>
      </c>
    </row>
    <row r="52" spans="2:76" ht="14.4" customHeight="1">
      <c r="B52" s="4">
        <v>478</v>
      </c>
      <c r="C52" s="38" t="s">
        <v>779</v>
      </c>
      <c r="D52" s="5" t="str">
        <f>REPLACE(C52,1,3, )</f>
        <v xml:space="preserve"> 808</v>
      </c>
      <c r="E52" s="6" t="s">
        <v>779</v>
      </c>
      <c r="F52" s="7">
        <f>IF(C52=E52,0,1)</f>
        <v>0</v>
      </c>
      <c r="G52" s="8" t="s">
        <v>20</v>
      </c>
      <c r="H52" s="8" t="s">
        <v>1498</v>
      </c>
      <c r="I52" s="8" t="s">
        <v>491</v>
      </c>
      <c r="J52" s="12"/>
      <c r="K52" s="13">
        <f>J52-M52</f>
        <v>0</v>
      </c>
      <c r="L52" s="7"/>
      <c r="M52" s="14">
        <f>J52-N52</f>
        <v>0</v>
      </c>
      <c r="N52" s="15"/>
      <c r="O52" s="39">
        <f>M52+N52</f>
        <v>0</v>
      </c>
      <c r="P52" s="95"/>
      <c r="Q52" s="3"/>
      <c r="R52" s="36"/>
      <c r="S52" s="36">
        <f>R52+O52</f>
        <v>0</v>
      </c>
      <c r="T52" s="36">
        <f>S52/0.7</f>
        <v>0</v>
      </c>
      <c r="U52" s="40">
        <f>T52/0.875</f>
        <v>0</v>
      </c>
      <c r="V52" s="41" t="e">
        <f>(U52-T52)/U52</f>
        <v>#DIV/0!</v>
      </c>
      <c r="W52" s="40">
        <f>(ROUNDUP((U52/100),0))*100</f>
        <v>0</v>
      </c>
      <c r="X52" s="42" t="e">
        <f>(T52-O52)/T52</f>
        <v>#DIV/0!</v>
      </c>
      <c r="Y52" s="45">
        <v>110075</v>
      </c>
      <c r="Z52" s="46">
        <f>T52-Y52</f>
        <v>-110075</v>
      </c>
      <c r="AA52" s="47">
        <f>Z52/Y52</f>
        <v>-1</v>
      </c>
      <c r="AB52" s="60"/>
    </row>
    <row r="53" spans="2:76" ht="14.4" customHeight="1">
      <c r="B53" s="4">
        <v>480</v>
      </c>
      <c r="C53" s="5" t="s">
        <v>1309</v>
      </c>
      <c r="D53" s="5" t="str">
        <f>REPLACE(C53,1,3, )</f>
        <v xml:space="preserve"> 422</v>
      </c>
      <c r="E53" s="6" t="s">
        <v>1309</v>
      </c>
      <c r="F53" s="7">
        <f>IF(C53=E53,0,1)</f>
        <v>0</v>
      </c>
      <c r="G53" s="11" t="s">
        <v>20</v>
      </c>
      <c r="H53" s="11" t="s">
        <v>1498</v>
      </c>
      <c r="I53" s="11" t="s">
        <v>491</v>
      </c>
      <c r="J53" s="12"/>
      <c r="K53" s="13">
        <f>J53-M53</f>
        <v>0</v>
      </c>
      <c r="L53" s="7"/>
      <c r="M53" s="14">
        <f>J53-N53</f>
        <v>0</v>
      </c>
      <c r="N53" s="15"/>
      <c r="O53" s="39">
        <f>M53+N53</f>
        <v>0</v>
      </c>
      <c r="P53" s="95"/>
      <c r="Q53" s="3"/>
      <c r="R53" s="36"/>
      <c r="S53" s="36">
        <f>R53+O53</f>
        <v>0</v>
      </c>
      <c r="T53" s="36">
        <f>S53/0.7</f>
        <v>0</v>
      </c>
      <c r="U53" s="40">
        <f>T53/0.875</f>
        <v>0</v>
      </c>
      <c r="V53" s="41" t="e">
        <f>(U53-T53)/U53</f>
        <v>#DIV/0!</v>
      </c>
      <c r="W53" s="40">
        <f>(ROUNDUP((U53/100),0))*100</f>
        <v>0</v>
      </c>
      <c r="X53" s="42" t="e">
        <f>(T53-O53)/T53</f>
        <v>#DIV/0!</v>
      </c>
      <c r="Y53" s="45">
        <v>110075</v>
      </c>
      <c r="Z53" s="46">
        <f>T53-Y53</f>
        <v>-110075</v>
      </c>
      <c r="AA53" s="47">
        <f>Z53/Y53</f>
        <v>-1</v>
      </c>
      <c r="AB53" s="159" t="s">
        <v>1532</v>
      </c>
      <c r="AC53" s="145">
        <v>110000</v>
      </c>
      <c r="AD53" s="146">
        <v>109666.66666666667</v>
      </c>
      <c r="AE53" s="147">
        <v>103571</v>
      </c>
      <c r="AF53" s="148">
        <v>3.0395136778115059E-3</v>
      </c>
      <c r="AG53" s="149"/>
      <c r="AH53" s="149"/>
      <c r="AI53" s="151"/>
      <c r="AJ53" s="151"/>
      <c r="AK53" s="151"/>
      <c r="AL53" s="149"/>
      <c r="AM53" s="151"/>
      <c r="AN53" s="151"/>
      <c r="AO53" s="151"/>
      <c r="AP53" s="149"/>
      <c r="AQ53" s="151"/>
      <c r="AR53" s="151"/>
      <c r="AS53" s="151"/>
      <c r="AT53" s="149"/>
      <c r="AU53" s="151"/>
      <c r="AV53" s="151"/>
      <c r="AW53" s="149"/>
      <c r="AX53" s="151"/>
      <c r="AY53" s="151"/>
      <c r="AZ53" s="151"/>
      <c r="BA53" s="149"/>
      <c r="BB53" s="151"/>
      <c r="BC53" s="151"/>
      <c r="BD53" s="151"/>
      <c r="BE53" s="149"/>
      <c r="BF53" s="151"/>
      <c r="BG53" s="151"/>
      <c r="BH53" s="151"/>
      <c r="BI53" s="149"/>
      <c r="BJ53" s="151"/>
      <c r="BK53" s="151"/>
      <c r="BL53" s="151"/>
      <c r="BM53" s="149"/>
      <c r="BN53" s="146">
        <v>114664.28571428572</v>
      </c>
      <c r="BO53" s="146">
        <v>110704</v>
      </c>
      <c r="BP53" s="151"/>
      <c r="BQ53" s="155">
        <v>102793</v>
      </c>
      <c r="BR53" s="146">
        <v>111375.71428571429</v>
      </c>
      <c r="BS53" s="151"/>
      <c r="BT53" s="151"/>
      <c r="BU53" s="149"/>
      <c r="BV53" s="151"/>
      <c r="BW53" s="151"/>
      <c r="BX53" s="153"/>
    </row>
    <row r="54" spans="2:76" ht="14.4" customHeight="1">
      <c r="B54" s="4">
        <v>481</v>
      </c>
      <c r="C54" s="5" t="s">
        <v>108</v>
      </c>
      <c r="D54" s="5" t="str">
        <f>REPLACE(C54,1,3, )</f>
        <v xml:space="preserve"> 117</v>
      </c>
      <c r="E54" s="6" t="s">
        <v>108</v>
      </c>
      <c r="F54" s="7">
        <f>IF(C54=E54,0,1)</f>
        <v>0</v>
      </c>
      <c r="G54" s="11" t="s">
        <v>20</v>
      </c>
      <c r="H54" s="11" t="s">
        <v>1533</v>
      </c>
      <c r="I54" s="11" t="s">
        <v>352</v>
      </c>
      <c r="J54" s="12">
        <v>68500</v>
      </c>
      <c r="K54" s="13">
        <f>J54-M54</f>
        <v>6150</v>
      </c>
      <c r="L54" s="7" t="s">
        <v>23</v>
      </c>
      <c r="M54" s="14">
        <f>J54-N54</f>
        <v>62350</v>
      </c>
      <c r="N54" s="15">
        <v>6150</v>
      </c>
      <c r="O54" s="39">
        <f>M54+N54</f>
        <v>68500</v>
      </c>
      <c r="P54" s="95"/>
      <c r="Q54" s="3" t="s">
        <v>417</v>
      </c>
      <c r="R54" s="36"/>
      <c r="S54" s="36">
        <f>R54+O54</f>
        <v>68500</v>
      </c>
      <c r="T54" s="36">
        <f>S54/0.7</f>
        <v>97857.14285714287</v>
      </c>
      <c r="U54" s="40">
        <f>T54/0.875</f>
        <v>111836.73469387756</v>
      </c>
      <c r="V54" s="41">
        <f>(U54-T54)/U54</f>
        <v>0.12499999999999994</v>
      </c>
      <c r="W54" s="40">
        <f>(ROUNDUP((U54/100),0))*100</f>
        <v>111900</v>
      </c>
      <c r="X54" s="42">
        <f>(T54-O54)/T54</f>
        <v>0.3000000000000001</v>
      </c>
      <c r="Y54" s="45">
        <v>97913</v>
      </c>
      <c r="Z54" s="46">
        <f>T54-Y54</f>
        <v>-55.857142857130384</v>
      </c>
      <c r="AA54" s="47">
        <f>Z54/Y54</f>
        <v>-5.7047728960536791E-4</v>
      </c>
      <c r="AB54" s="60"/>
    </row>
    <row r="55" spans="2:76" ht="14.4" customHeight="1">
      <c r="B55" s="4">
        <v>482</v>
      </c>
      <c r="C55" s="5" t="s">
        <v>218</v>
      </c>
      <c r="D55" s="5" t="str">
        <f>REPLACE(C55,1,3, )</f>
        <v xml:space="preserve"> 606</v>
      </c>
      <c r="E55" s="6" t="s">
        <v>218</v>
      </c>
      <c r="F55" s="7">
        <f>IF(C55=E55,0,1)</f>
        <v>0</v>
      </c>
      <c r="G55" s="11" t="s">
        <v>298</v>
      </c>
      <c r="H55" s="11" t="s">
        <v>1533</v>
      </c>
      <c r="I55" s="11" t="s">
        <v>352</v>
      </c>
      <c r="J55" s="12">
        <v>74000</v>
      </c>
      <c r="K55" s="13">
        <f>J55-M55</f>
        <v>4250</v>
      </c>
      <c r="L55" s="7" t="s">
        <v>23</v>
      </c>
      <c r="M55" s="14">
        <f>J55-N55</f>
        <v>69750</v>
      </c>
      <c r="N55" s="15">
        <f>2000+200+350+600+300+800</f>
        <v>4250</v>
      </c>
      <c r="O55" s="39">
        <f>M55+N55</f>
        <v>74000</v>
      </c>
      <c r="P55" s="96"/>
      <c r="Q55" s="3" t="s">
        <v>419</v>
      </c>
      <c r="R55" s="36"/>
      <c r="S55" s="36">
        <f>R55+O55</f>
        <v>74000</v>
      </c>
      <c r="T55" s="36">
        <f>S55/0.7</f>
        <v>105714.28571428572</v>
      </c>
      <c r="U55" s="40">
        <f>T55/0.875</f>
        <v>120816.32653061226</v>
      </c>
      <c r="V55" s="41">
        <f>(U55-T55)/U55</f>
        <v>0.12500000000000006</v>
      </c>
      <c r="W55" s="40">
        <f>(ROUNDUP((U55/100),0))*100</f>
        <v>120900</v>
      </c>
      <c r="X55" s="42">
        <f>(T55-O55)/T55</f>
        <v>0.30000000000000004</v>
      </c>
      <c r="Y55" s="43"/>
      <c r="Z55" s="43"/>
      <c r="AA55" s="43"/>
      <c r="AB55" s="59"/>
      <c r="AC55" s="144" t="s">
        <v>1514</v>
      </c>
      <c r="AD55" s="142"/>
      <c r="AE55" s="142"/>
      <c r="AF55" s="143"/>
      <c r="AG55" s="141"/>
      <c r="AH55" s="141"/>
      <c r="AI55" s="142"/>
      <c r="AJ55" s="142"/>
      <c r="AK55" s="142"/>
      <c r="AL55" s="141"/>
      <c r="AM55" s="142"/>
      <c r="AN55" s="142"/>
      <c r="AO55" s="142"/>
      <c r="AP55" s="141"/>
      <c r="AQ55" s="142"/>
      <c r="AR55" s="142"/>
      <c r="AS55" s="142"/>
      <c r="AT55" s="141"/>
      <c r="AU55" s="142"/>
      <c r="AV55" s="142"/>
      <c r="AW55" s="141"/>
      <c r="AX55" s="142"/>
      <c r="AY55" s="142"/>
      <c r="AZ55" s="142"/>
      <c r="BA55" s="141"/>
      <c r="BB55" s="142"/>
      <c r="BC55" s="142"/>
      <c r="BD55" s="142"/>
      <c r="BE55" s="141"/>
      <c r="BF55" s="142"/>
      <c r="BG55" s="142"/>
      <c r="BH55" s="142"/>
      <c r="BI55" s="141"/>
      <c r="BJ55" s="142"/>
      <c r="BK55" s="142"/>
      <c r="BL55" s="142"/>
      <c r="BM55" s="141"/>
      <c r="BN55" s="142"/>
      <c r="BO55" s="142"/>
      <c r="BP55" s="142"/>
      <c r="BQ55" s="141"/>
      <c r="BR55" s="142"/>
      <c r="BS55" s="142"/>
      <c r="BT55" s="142"/>
      <c r="BU55" s="141"/>
      <c r="BV55" s="142"/>
      <c r="BW55" s="142"/>
    </row>
    <row r="56" spans="2:76" ht="14.4" customHeight="1">
      <c r="B56" s="4">
        <v>479</v>
      </c>
      <c r="C56" s="5" t="s">
        <v>107</v>
      </c>
      <c r="D56" s="5" t="str">
        <f>REPLACE(C56,1,3, )</f>
        <v xml:space="preserve"> 976</v>
      </c>
      <c r="E56" s="6" t="s">
        <v>107</v>
      </c>
      <c r="F56" s="7">
        <f>IF(C56=E56,0,1)</f>
        <v>0</v>
      </c>
      <c r="G56" s="11" t="s">
        <v>20</v>
      </c>
      <c r="H56" s="11" t="s">
        <v>1499</v>
      </c>
      <c r="I56" s="11" t="s">
        <v>365</v>
      </c>
      <c r="J56" s="12">
        <f>M56</f>
        <v>63000</v>
      </c>
      <c r="K56" s="13">
        <f>J56-M56</f>
        <v>0</v>
      </c>
      <c r="L56" s="17" t="s">
        <v>22</v>
      </c>
      <c r="M56" s="18">
        <v>63000</v>
      </c>
      <c r="N56" s="15">
        <f>2000+200+350+600+3000</f>
        <v>6150</v>
      </c>
      <c r="O56" s="39">
        <f>M56+N56</f>
        <v>69150</v>
      </c>
      <c r="P56" s="95"/>
      <c r="Q56" s="3" t="s">
        <v>458</v>
      </c>
      <c r="R56" s="36"/>
      <c r="S56" s="36">
        <f>R56+O56</f>
        <v>69150</v>
      </c>
      <c r="T56" s="36">
        <f>S56/0.7</f>
        <v>98785.71428571429</v>
      </c>
      <c r="U56" s="40">
        <f>T56/0.875</f>
        <v>112897.95918367348</v>
      </c>
      <c r="V56" s="41">
        <f>(U56-T56)/U56</f>
        <v>0.12500000000000003</v>
      </c>
      <c r="W56" s="40">
        <f>(ROUNDUP((U56/100),0))*100</f>
        <v>112900</v>
      </c>
      <c r="X56" s="42">
        <f>(T56-O56)/T56</f>
        <v>0.30000000000000004</v>
      </c>
      <c r="Y56" s="45">
        <v>91700</v>
      </c>
      <c r="Z56" s="46">
        <f>T56-Y56</f>
        <v>7085.7142857142899</v>
      </c>
      <c r="AA56" s="47">
        <f>Z56/Y56</f>
        <v>7.7270602897647658E-2</v>
      </c>
      <c r="AB56" s="60"/>
    </row>
    <row r="57" spans="2:76" ht="14.4" customHeight="1">
      <c r="B57" s="4">
        <v>487</v>
      </c>
      <c r="C57" s="5" t="s">
        <v>72</v>
      </c>
      <c r="D57" s="5" t="str">
        <f>REPLACE(C57,1,3, )</f>
        <v xml:space="preserve"> 229</v>
      </c>
      <c r="E57" s="6" t="s">
        <v>72</v>
      </c>
      <c r="F57" s="7">
        <f>IF(C57=E57,0,1)</f>
        <v>0</v>
      </c>
      <c r="G57" s="11" t="s">
        <v>20</v>
      </c>
      <c r="H57" s="11" t="s">
        <v>1499</v>
      </c>
      <c r="I57" s="11" t="s">
        <v>365</v>
      </c>
      <c r="J57" s="12"/>
      <c r="K57" s="13">
        <f>J57-M57</f>
        <v>0</v>
      </c>
      <c r="L57" s="7"/>
      <c r="M57" s="14">
        <f>J57-N57</f>
        <v>0</v>
      </c>
      <c r="N57" s="15"/>
      <c r="O57" s="39">
        <f>M57+N57</f>
        <v>0</v>
      </c>
      <c r="P57" s="95"/>
      <c r="Q57" s="3"/>
      <c r="R57" s="36"/>
      <c r="S57" s="36">
        <f>R57+O57</f>
        <v>0</v>
      </c>
      <c r="T57" s="36">
        <f>S57/0.7</f>
        <v>0</v>
      </c>
      <c r="U57" s="40">
        <f>T57/0.875</f>
        <v>0</v>
      </c>
      <c r="V57" s="41" t="e">
        <f>(U57-T57)/U57</f>
        <v>#DIV/0!</v>
      </c>
      <c r="W57" s="40">
        <f>(ROUNDUP((U57/100),0))*100</f>
        <v>0</v>
      </c>
      <c r="X57" s="42" t="e">
        <f>(T57-O57)/T57</f>
        <v>#DIV/0!</v>
      </c>
      <c r="Y57" s="45">
        <v>103075</v>
      </c>
      <c r="Z57" s="46">
        <f>T57-Y57</f>
        <v>-103075</v>
      </c>
      <c r="AA57" s="47">
        <f>Z57/Y57</f>
        <v>-1</v>
      </c>
      <c r="AB57" s="159" t="s">
        <v>1534</v>
      </c>
      <c r="AC57" s="165">
        <v>95452.380952380947</v>
      </c>
      <c r="AD57" s="146">
        <v>89428.571428571435</v>
      </c>
      <c r="AE57" s="147">
        <v>83571</v>
      </c>
      <c r="AF57" s="148">
        <v>6.73588924387645E-2</v>
      </c>
      <c r="AG57" s="149">
        <v>73000</v>
      </c>
      <c r="AH57" s="155">
        <v>69825</v>
      </c>
      <c r="AI57" s="146">
        <v>79092.857142857145</v>
      </c>
      <c r="AJ57" s="146">
        <v>76967</v>
      </c>
      <c r="AK57" s="151"/>
      <c r="AL57" s="149"/>
      <c r="AM57" s="151"/>
      <c r="AN57" s="151"/>
      <c r="AO57" s="151"/>
      <c r="AP57" s="149"/>
      <c r="AQ57" s="151"/>
      <c r="AR57" s="151"/>
      <c r="AS57" s="151"/>
      <c r="AT57" s="149"/>
      <c r="AU57" s="151"/>
      <c r="AV57" s="151"/>
      <c r="AW57" s="149"/>
      <c r="AX57" s="151"/>
      <c r="AY57" s="151"/>
      <c r="AZ57" s="151"/>
      <c r="BA57" s="149"/>
      <c r="BB57" s="147">
        <v>87480</v>
      </c>
      <c r="BC57" s="151"/>
      <c r="BD57" s="151"/>
      <c r="BE57" s="149"/>
      <c r="BF57" s="151"/>
      <c r="BG57" s="151"/>
      <c r="BH57" s="151">
        <v>106500</v>
      </c>
      <c r="BI57" s="156">
        <v>103999</v>
      </c>
      <c r="BJ57" s="151"/>
      <c r="BK57" s="146">
        <v>76500</v>
      </c>
      <c r="BL57" s="151"/>
      <c r="BM57" s="149"/>
      <c r="BN57" s="151"/>
      <c r="BO57" s="151"/>
      <c r="BP57" s="151"/>
      <c r="BQ57" s="149"/>
      <c r="BR57" s="151"/>
      <c r="BS57" s="151"/>
      <c r="BT57" s="151"/>
      <c r="BU57" s="149"/>
      <c r="BV57" s="151"/>
      <c r="BW57" s="151"/>
      <c r="BX57" s="153"/>
    </row>
    <row r="58" spans="2:76" ht="14.4" customHeight="1">
      <c r="B58" s="4">
        <v>489</v>
      </c>
      <c r="C58" s="38" t="s">
        <v>783</v>
      </c>
      <c r="D58" s="5" t="str">
        <f>REPLACE(C58,1,3, )</f>
        <v xml:space="preserve"> 197</v>
      </c>
      <c r="E58" s="6" t="s">
        <v>783</v>
      </c>
      <c r="F58" s="7">
        <f>IF(C58=E58,0,1)</f>
        <v>0</v>
      </c>
      <c r="G58" s="8" t="s">
        <v>298</v>
      </c>
      <c r="H58" s="8" t="s">
        <v>1503</v>
      </c>
      <c r="I58" s="8" t="s">
        <v>512</v>
      </c>
      <c r="J58" s="12"/>
      <c r="K58" s="13">
        <f>J58-M58</f>
        <v>0</v>
      </c>
      <c r="L58" s="7"/>
      <c r="M58" s="14">
        <f>J58-N58</f>
        <v>0</v>
      </c>
      <c r="N58" s="15"/>
      <c r="O58" s="39">
        <f>M58+N58</f>
        <v>0</v>
      </c>
      <c r="P58" s="95"/>
      <c r="Q58" s="3"/>
      <c r="R58" s="36"/>
      <c r="S58" s="36">
        <f>R58+O58</f>
        <v>0</v>
      </c>
      <c r="T58" s="36">
        <f>S58/0.7</f>
        <v>0</v>
      </c>
      <c r="U58" s="40">
        <f>T58/0.875</f>
        <v>0</v>
      </c>
      <c r="V58" s="41" t="e">
        <f>(U58-T58)/U58</f>
        <v>#DIV/0!</v>
      </c>
      <c r="W58" s="40">
        <f>(ROUNDUP((U58/100),0))*100</f>
        <v>0</v>
      </c>
      <c r="X58" s="42" t="e">
        <f>(T58-O58)/T58</f>
        <v>#DIV/0!</v>
      </c>
      <c r="Y58" s="45"/>
      <c r="Z58" s="46"/>
      <c r="AA58" s="47"/>
      <c r="AB58" s="60"/>
      <c r="AC58" s="144" t="s">
        <v>1514</v>
      </c>
    </row>
    <row r="59" spans="2:76" ht="14.4" customHeight="1">
      <c r="B59" s="4">
        <v>140</v>
      </c>
      <c r="C59" s="38" t="s">
        <v>586</v>
      </c>
      <c r="D59" s="5" t="str">
        <f>REPLACE(C59,1,3, )</f>
        <v xml:space="preserve"> 228</v>
      </c>
      <c r="E59" s="6" t="s">
        <v>586</v>
      </c>
      <c r="F59" s="7">
        <f>IF(C59=E59,0,1)</f>
        <v>0</v>
      </c>
      <c r="G59" s="8" t="s">
        <v>20</v>
      </c>
      <c r="H59" s="8" t="s">
        <v>34</v>
      </c>
      <c r="I59" s="8" t="s">
        <v>491</v>
      </c>
      <c r="J59" s="12"/>
      <c r="K59" s="13">
        <f>J59-M59</f>
        <v>0</v>
      </c>
      <c r="L59" s="7"/>
      <c r="M59" s="14">
        <f>J59-N59</f>
        <v>0</v>
      </c>
      <c r="N59" s="15"/>
      <c r="O59" s="39">
        <f>M59+N59</f>
        <v>0</v>
      </c>
      <c r="P59" s="96"/>
      <c r="Q59" s="3"/>
      <c r="R59" s="36"/>
      <c r="S59" s="36">
        <f>R59+O59</f>
        <v>0</v>
      </c>
      <c r="T59" s="36">
        <f>S59/0.7</f>
        <v>0</v>
      </c>
      <c r="U59" s="40">
        <f>T59/0.875</f>
        <v>0</v>
      </c>
      <c r="V59" s="41" t="e">
        <f>(U59-T59)/U59</f>
        <v>#DIV/0!</v>
      </c>
      <c r="W59" s="40">
        <f>(ROUNDUP((U59/100),0))*100</f>
        <v>0</v>
      </c>
      <c r="X59" s="42" t="e">
        <f>(T59-O59)/T59</f>
        <v>#DIV/0!</v>
      </c>
      <c r="Y59" s="45">
        <v>127226</v>
      </c>
      <c r="Z59" s="46">
        <f>T59-Y59</f>
        <v>-127226</v>
      </c>
      <c r="AA59" s="47">
        <f>Z59/Y59</f>
        <v>-1</v>
      </c>
      <c r="AB59" s="60"/>
    </row>
    <row r="60" spans="2:76" ht="14.4" customHeight="1">
      <c r="B60" s="4">
        <v>141</v>
      </c>
      <c r="C60" s="38" t="s">
        <v>587</v>
      </c>
      <c r="D60" s="5" t="str">
        <f>REPLACE(C60,1,3, )</f>
        <v xml:space="preserve"> 190</v>
      </c>
      <c r="E60" s="6" t="s">
        <v>587</v>
      </c>
      <c r="F60" s="7">
        <f>IF(C60=E60,0,1)</f>
        <v>0</v>
      </c>
      <c r="G60" s="8" t="s">
        <v>298</v>
      </c>
      <c r="H60" s="8" t="s">
        <v>34</v>
      </c>
      <c r="I60" s="8" t="s">
        <v>491</v>
      </c>
      <c r="J60" s="12"/>
      <c r="K60" s="13">
        <f>J60-M60</f>
        <v>0</v>
      </c>
      <c r="L60" s="7"/>
      <c r="M60" s="14">
        <f>J60-N60</f>
        <v>0</v>
      </c>
      <c r="N60" s="15"/>
      <c r="O60" s="39">
        <f>M60+N60</f>
        <v>0</v>
      </c>
      <c r="P60" s="96"/>
      <c r="Q60" s="3"/>
      <c r="R60" s="36"/>
      <c r="S60" s="36">
        <f>R60+O60</f>
        <v>0</v>
      </c>
      <c r="T60" s="36">
        <f>S60/0.7</f>
        <v>0</v>
      </c>
      <c r="U60" s="40">
        <f>T60/0.875</f>
        <v>0</v>
      </c>
      <c r="V60" s="41" t="e">
        <f>(U60-T60)/U60</f>
        <v>#DIV/0!</v>
      </c>
      <c r="W60" s="40">
        <f>(ROUNDUP((U60/100),0))*100</f>
        <v>0</v>
      </c>
      <c r="X60" s="42" t="e">
        <f>(T60-O60)/T60</f>
        <v>#DIV/0!</v>
      </c>
      <c r="Y60" s="45"/>
      <c r="Z60" s="46"/>
      <c r="AA60" s="47"/>
      <c r="AB60" s="60"/>
    </row>
    <row r="61" spans="2:76" ht="14.4" customHeight="1">
      <c r="B61" s="4">
        <v>142</v>
      </c>
      <c r="C61" s="38" t="s">
        <v>588</v>
      </c>
      <c r="D61" s="5" t="str">
        <f>REPLACE(C61,1,3, )</f>
        <v xml:space="preserve"> 931</v>
      </c>
      <c r="E61" s="6" t="s">
        <v>588</v>
      </c>
      <c r="F61" s="7">
        <f>IF(C61=E61,0,1)</f>
        <v>0</v>
      </c>
      <c r="G61" s="8" t="s">
        <v>298</v>
      </c>
      <c r="H61" s="8" t="s">
        <v>34</v>
      </c>
      <c r="I61" s="8" t="s">
        <v>491</v>
      </c>
      <c r="J61" s="12"/>
      <c r="K61" s="13">
        <f>J61-M61</f>
        <v>0</v>
      </c>
      <c r="L61" s="7"/>
      <c r="M61" s="14">
        <f>J61-N61</f>
        <v>0</v>
      </c>
      <c r="N61" s="15"/>
      <c r="O61" s="39">
        <f>M61+N61</f>
        <v>0</v>
      </c>
      <c r="P61" s="96"/>
      <c r="Q61" s="3"/>
      <c r="R61" s="36"/>
      <c r="S61" s="36">
        <f>R61+O61</f>
        <v>0</v>
      </c>
      <c r="T61" s="36">
        <f>S61/0.7</f>
        <v>0</v>
      </c>
      <c r="U61" s="40">
        <f>T61/0.875</f>
        <v>0</v>
      </c>
      <c r="V61" s="41" t="e">
        <f>(U61-T61)/U61</f>
        <v>#DIV/0!</v>
      </c>
      <c r="W61" s="40">
        <f>(ROUNDUP((U61/100),0))*100</f>
        <v>0</v>
      </c>
      <c r="X61" s="42" t="e">
        <f>(T61-O61)/T61</f>
        <v>#DIV/0!</v>
      </c>
      <c r="Y61" s="45"/>
      <c r="Z61" s="46"/>
      <c r="AA61" s="47"/>
      <c r="AB61" s="60"/>
    </row>
    <row r="62" spans="2:76" ht="14.4" customHeight="1">
      <c r="B62" s="4">
        <v>143</v>
      </c>
      <c r="C62" s="5" t="s">
        <v>177</v>
      </c>
      <c r="D62" s="5" t="str">
        <f>REPLACE(C62,1,3, )</f>
        <v xml:space="preserve"> 170</v>
      </c>
      <c r="E62" s="6" t="s">
        <v>177</v>
      </c>
      <c r="F62" s="7">
        <f>IF(C62=E62,0,1)</f>
        <v>0</v>
      </c>
      <c r="G62" s="11" t="s">
        <v>298</v>
      </c>
      <c r="H62" s="11" t="s">
        <v>34</v>
      </c>
      <c r="I62" s="11" t="s">
        <v>341</v>
      </c>
      <c r="J62" s="12">
        <v>94000</v>
      </c>
      <c r="K62" s="13">
        <f>J62-M62</f>
        <v>4600</v>
      </c>
      <c r="L62" s="7" t="s">
        <v>23</v>
      </c>
      <c r="M62" s="14">
        <f>J62-N62</f>
        <v>89400</v>
      </c>
      <c r="N62" s="14">
        <f>2000+200+600+650+750+400</f>
        <v>4600</v>
      </c>
      <c r="O62" s="39">
        <f>M62+N62</f>
        <v>94000</v>
      </c>
      <c r="P62" s="95"/>
      <c r="Q62" s="3" t="s">
        <v>400</v>
      </c>
      <c r="R62" s="36"/>
      <c r="S62" s="36">
        <f>R62+O62</f>
        <v>94000</v>
      </c>
      <c r="T62" s="36">
        <f>S62/0.7</f>
        <v>134285.71428571429</v>
      </c>
      <c r="U62" s="40">
        <f>T62/0.875</f>
        <v>153469.38775510204</v>
      </c>
      <c r="V62" s="41">
        <f>(U62-T62)/U62</f>
        <v>0.12499999999999997</v>
      </c>
      <c r="W62" s="40">
        <f>(ROUNDUP((U62/100),0))*100</f>
        <v>153500</v>
      </c>
      <c r="X62" s="42">
        <f>(T62-O62)/T62</f>
        <v>0.30000000000000004</v>
      </c>
      <c r="Y62" s="43"/>
      <c r="Z62" s="43"/>
      <c r="AA62" s="43"/>
      <c r="AB62" s="59"/>
    </row>
    <row r="63" spans="2:76" ht="14.4" customHeight="1">
      <c r="B63" s="4">
        <v>145</v>
      </c>
      <c r="C63" s="38" t="s">
        <v>591</v>
      </c>
      <c r="D63" s="5" t="str">
        <f>REPLACE(C63,1,3, )</f>
        <v xml:space="preserve"> 127</v>
      </c>
      <c r="E63" s="6" t="s">
        <v>591</v>
      </c>
      <c r="F63" s="7">
        <f>IF(C63=E63,0,1)</f>
        <v>0</v>
      </c>
      <c r="G63" s="8" t="s">
        <v>20</v>
      </c>
      <c r="H63" s="8" t="s">
        <v>34</v>
      </c>
      <c r="I63" s="8" t="s">
        <v>491</v>
      </c>
      <c r="J63" s="12"/>
      <c r="K63" s="13">
        <f>J63-M63</f>
        <v>0</v>
      </c>
      <c r="L63" s="7"/>
      <c r="M63" s="14">
        <f>J63-N63</f>
        <v>0</v>
      </c>
      <c r="N63" s="14"/>
      <c r="O63" s="39">
        <f>M63+N63</f>
        <v>0</v>
      </c>
      <c r="P63" s="95"/>
      <c r="Q63" s="3"/>
      <c r="R63" s="36"/>
      <c r="S63" s="36">
        <f>R63+O63</f>
        <v>0</v>
      </c>
      <c r="T63" s="36">
        <f>S63/0.7</f>
        <v>0</v>
      </c>
      <c r="U63" s="40">
        <f>T63/0.875</f>
        <v>0</v>
      </c>
      <c r="V63" s="41" t="e">
        <f>(U63-T63)/U63</f>
        <v>#DIV/0!</v>
      </c>
      <c r="W63" s="40">
        <f>(ROUNDUP((U63/100),0))*100</f>
        <v>0</v>
      </c>
      <c r="X63" s="42" t="e">
        <f>(T63-O63)/T63</f>
        <v>#DIV/0!</v>
      </c>
      <c r="Y63" s="45">
        <v>122150</v>
      </c>
      <c r="Z63" s="46">
        <f>T63-Y63</f>
        <v>-122150</v>
      </c>
      <c r="AA63" s="47">
        <f>Z63/Y63</f>
        <v>-1</v>
      </c>
      <c r="AB63" s="60"/>
    </row>
    <row r="64" spans="2:76" ht="14.4" customHeight="1">
      <c r="B64" s="4">
        <v>146</v>
      </c>
      <c r="C64" s="5" t="s">
        <v>124</v>
      </c>
      <c r="D64" s="5" t="str">
        <f>REPLACE(C64,1,3, )</f>
        <v xml:space="preserve"> 326</v>
      </c>
      <c r="E64" s="6" t="s">
        <v>124</v>
      </c>
      <c r="F64" s="7">
        <f>IF(C64=E64,0,1)</f>
        <v>0</v>
      </c>
      <c r="G64" s="7" t="s">
        <v>298</v>
      </c>
      <c r="H64" s="11" t="s">
        <v>34</v>
      </c>
      <c r="I64" s="11" t="s">
        <v>328</v>
      </c>
      <c r="J64" s="12">
        <v>93000</v>
      </c>
      <c r="K64" s="13">
        <f>J64-M64</f>
        <v>6950</v>
      </c>
      <c r="L64" s="7" t="s">
        <v>23</v>
      </c>
      <c r="M64" s="14">
        <f>J64-N64</f>
        <v>86050</v>
      </c>
      <c r="N64" s="14">
        <f>2000+200+600+750+3000+400</f>
        <v>6950</v>
      </c>
      <c r="O64" s="39">
        <f>M64+N64</f>
        <v>93000</v>
      </c>
      <c r="P64" s="96"/>
      <c r="Q64" s="3" t="s">
        <v>467</v>
      </c>
      <c r="R64" s="36"/>
      <c r="S64" s="36">
        <f>R64+O64</f>
        <v>93000</v>
      </c>
      <c r="T64" s="36">
        <f>S64/0.7</f>
        <v>132857.14285714287</v>
      </c>
      <c r="U64" s="40">
        <f>T64/0.875</f>
        <v>151836.73469387757</v>
      </c>
      <c r="V64" s="41">
        <f>(U64-T64)/U64</f>
        <v>0.12500000000000006</v>
      </c>
      <c r="W64" s="40">
        <f>(ROUNDUP((U64/100),0))*100</f>
        <v>151900</v>
      </c>
      <c r="X64" s="42">
        <f>(T64-O64)/T64</f>
        <v>0.30000000000000004</v>
      </c>
      <c r="Y64" s="43"/>
      <c r="Z64" s="43"/>
      <c r="AA64" s="43"/>
      <c r="AB64" s="59"/>
    </row>
    <row r="65" spans="2:77" ht="14.25" customHeight="1">
      <c r="B65" s="4">
        <v>147</v>
      </c>
      <c r="C65" s="5" t="s">
        <v>944</v>
      </c>
      <c r="D65" s="5" t="str">
        <f>REPLACE(C65,1,3, )</f>
        <v xml:space="preserve"> 894</v>
      </c>
      <c r="E65" s="6" t="s">
        <v>944</v>
      </c>
      <c r="F65" s="7">
        <f>IF(C65=E65,0,1)</f>
        <v>0</v>
      </c>
      <c r="G65" s="7" t="s">
        <v>298</v>
      </c>
      <c r="H65" s="11" t="s">
        <v>34</v>
      </c>
      <c r="I65" s="11" t="s">
        <v>491</v>
      </c>
      <c r="J65" s="12"/>
      <c r="K65" s="13">
        <f>J65-M65</f>
        <v>0</v>
      </c>
      <c r="L65" s="7"/>
      <c r="M65" s="14">
        <f>J65-N65</f>
        <v>0</v>
      </c>
      <c r="N65" s="14"/>
      <c r="O65" s="39">
        <f>M65+N65</f>
        <v>0</v>
      </c>
      <c r="P65" s="96"/>
      <c r="Q65" s="3"/>
      <c r="R65" s="36"/>
      <c r="S65" s="36">
        <f>R65+O65</f>
        <v>0</v>
      </c>
      <c r="T65" s="36">
        <f>S65/0.7</f>
        <v>0</v>
      </c>
      <c r="U65" s="40">
        <f>T65/0.875</f>
        <v>0</v>
      </c>
      <c r="V65" s="41" t="e">
        <f>(U65-T65)/U65</f>
        <v>#DIV/0!</v>
      </c>
      <c r="W65" s="40">
        <f>(ROUNDUP((U65/100),0))*100</f>
        <v>0</v>
      </c>
      <c r="X65" s="42" t="e">
        <f>(T65-O65)/T65</f>
        <v>#DIV/0!</v>
      </c>
      <c r="Y65" s="43"/>
      <c r="Z65" s="43"/>
      <c r="AA65" s="43"/>
      <c r="AB65" s="159" t="s">
        <v>1513</v>
      </c>
      <c r="AC65" s="160">
        <v>128529.76190476194</v>
      </c>
      <c r="AD65" s="146">
        <v>122478.57142857143</v>
      </c>
      <c r="AE65" s="147">
        <v>116984</v>
      </c>
      <c r="AF65" s="148">
        <v>4.9406115744250904E-2</v>
      </c>
      <c r="AG65" s="149"/>
      <c r="AH65" s="150">
        <v>108115.23809523815</v>
      </c>
      <c r="AI65" s="146">
        <v>93721.42857142858</v>
      </c>
      <c r="AJ65" s="146">
        <v>103360</v>
      </c>
      <c r="AK65" s="151"/>
      <c r="AL65" s="155">
        <v>115657</v>
      </c>
      <c r="AM65" s="146">
        <v>112577.14285714287</v>
      </c>
      <c r="AN65" s="146">
        <v>108800</v>
      </c>
      <c r="AO65" s="151">
        <v>147475</v>
      </c>
      <c r="AP65" s="156">
        <v>138960</v>
      </c>
      <c r="AQ65" s="146">
        <v>136350</v>
      </c>
      <c r="AR65" s="146">
        <v>136350</v>
      </c>
      <c r="AS65" s="151">
        <v>144854</v>
      </c>
      <c r="AT65" s="156">
        <v>133971</v>
      </c>
      <c r="AU65" s="146">
        <v>132492.85714285716</v>
      </c>
      <c r="AV65" s="146">
        <v>132413</v>
      </c>
      <c r="AW65" s="158"/>
      <c r="AX65" s="151"/>
      <c r="AY65" s="151"/>
      <c r="AZ65" s="151">
        <v>125280</v>
      </c>
      <c r="BA65" s="156">
        <v>125728</v>
      </c>
      <c r="BB65" s="146">
        <v>122250</v>
      </c>
      <c r="BC65" s="146">
        <v>119009</v>
      </c>
      <c r="BD65" s="151"/>
      <c r="BE65" s="149"/>
      <c r="BF65" s="151"/>
      <c r="BG65" s="151"/>
      <c r="BH65" s="151">
        <v>144417</v>
      </c>
      <c r="BI65" s="156">
        <v>140090</v>
      </c>
      <c r="BJ65" s="146">
        <v>126000.00000000001</v>
      </c>
      <c r="BK65" s="146">
        <v>120813</v>
      </c>
      <c r="BL65" s="151"/>
      <c r="BM65" s="158"/>
      <c r="BN65" s="146">
        <v>124930.00000000001</v>
      </c>
      <c r="BO65" s="151"/>
      <c r="BP65" s="151"/>
      <c r="BQ65" s="149"/>
      <c r="BR65" s="151"/>
      <c r="BS65" s="151"/>
      <c r="BT65" s="151"/>
      <c r="BU65" s="149"/>
      <c r="BV65" s="151"/>
      <c r="BW65" s="151"/>
      <c r="BX65" s="153"/>
      <c r="BY65" s="78"/>
    </row>
    <row r="66" spans="2:77" ht="14.25" customHeight="1">
      <c r="B66" s="4">
        <v>144</v>
      </c>
      <c r="C66" s="38" t="s">
        <v>589</v>
      </c>
      <c r="D66" s="5" t="str">
        <f>REPLACE(C66,1,3, )</f>
        <v xml:space="preserve"> 274</v>
      </c>
      <c r="E66" s="6" t="s">
        <v>589</v>
      </c>
      <c r="F66" s="7">
        <f>IF(C66=E66,0,1)</f>
        <v>0</v>
      </c>
      <c r="G66" s="8" t="s">
        <v>298</v>
      </c>
      <c r="H66" s="8" t="s">
        <v>590</v>
      </c>
      <c r="I66" s="8" t="s">
        <v>524</v>
      </c>
      <c r="J66" s="12">
        <v>75000</v>
      </c>
      <c r="K66" s="13">
        <f>J66-M66</f>
        <v>3600</v>
      </c>
      <c r="L66" s="7" t="s">
        <v>23</v>
      </c>
      <c r="M66" s="14">
        <f>J66-N66</f>
        <v>71400</v>
      </c>
      <c r="N66" s="14">
        <f>2000+200+600+800</f>
        <v>3600</v>
      </c>
      <c r="O66" s="39">
        <f>M66+N66</f>
        <v>75000</v>
      </c>
      <c r="P66" s="95"/>
      <c r="Q66" s="77" t="s">
        <v>1509</v>
      </c>
      <c r="R66" s="36"/>
      <c r="S66" s="36">
        <f>R66+O66</f>
        <v>75000</v>
      </c>
      <c r="T66" s="36">
        <f>S66/0.7</f>
        <v>107142.85714285714</v>
      </c>
      <c r="U66" s="40">
        <f>T66/0.875</f>
        <v>122448.97959183673</v>
      </c>
      <c r="V66" s="41">
        <f>(U66-T66)/U66</f>
        <v>0.12499999999999996</v>
      </c>
      <c r="W66" s="40">
        <f>(ROUNDUP((U66/100),0))*100</f>
        <v>122500</v>
      </c>
      <c r="X66" s="42">
        <f>(T66-O66)/T66</f>
        <v>0.3</v>
      </c>
      <c r="Y66" s="43"/>
      <c r="Z66" s="43"/>
      <c r="AA66" s="43"/>
      <c r="AB66" s="59"/>
      <c r="AC66" s="144" t="s">
        <v>1514</v>
      </c>
    </row>
    <row r="67" spans="2:77" ht="14.25" customHeight="1">
      <c r="B67" s="4">
        <v>245</v>
      </c>
      <c r="C67" s="5" t="s">
        <v>106</v>
      </c>
      <c r="D67" s="5" t="str">
        <f>REPLACE(C67,1,3, )</f>
        <v xml:space="preserve"> 578</v>
      </c>
      <c r="E67" s="6" t="s">
        <v>106</v>
      </c>
      <c r="F67" s="7">
        <f>IF(C67=E67,0,1)</f>
        <v>0</v>
      </c>
      <c r="G67" s="11" t="s">
        <v>20</v>
      </c>
      <c r="H67" s="11" t="s">
        <v>59</v>
      </c>
      <c r="I67" s="11" t="s">
        <v>360</v>
      </c>
      <c r="J67" s="12">
        <v>37000</v>
      </c>
      <c r="K67" s="13">
        <f>J67-M67</f>
        <v>5900</v>
      </c>
      <c r="L67" s="7" t="s">
        <v>23</v>
      </c>
      <c r="M67" s="14">
        <f>J67-N67</f>
        <v>31100</v>
      </c>
      <c r="N67" s="15">
        <f>2000+300+600+2000+1000</f>
        <v>5900</v>
      </c>
      <c r="O67" s="39">
        <f>M67+N67</f>
        <v>37000</v>
      </c>
      <c r="P67" s="95"/>
      <c r="Q67" s="3" t="s">
        <v>444</v>
      </c>
      <c r="R67" s="36"/>
      <c r="S67" s="36">
        <f>R67+O67</f>
        <v>37000</v>
      </c>
      <c r="T67" s="36">
        <f>S67/0.7</f>
        <v>52857.142857142862</v>
      </c>
      <c r="U67" s="40">
        <f>T67/0.875</f>
        <v>60408.163265306132</v>
      </c>
      <c r="V67" s="41">
        <f>(U67-T67)/U67</f>
        <v>0.12500000000000006</v>
      </c>
      <c r="W67" s="40">
        <f>(ROUNDUP((U67/100),0))*100</f>
        <v>60500</v>
      </c>
      <c r="X67" s="42">
        <f>(T67-O67)/T67</f>
        <v>0.30000000000000004</v>
      </c>
      <c r="Y67" s="45">
        <v>52938</v>
      </c>
      <c r="Z67" s="46">
        <f>T67-Y67</f>
        <v>-80.85714285713766</v>
      </c>
      <c r="AA67" s="47">
        <f>Z67/Y67</f>
        <v>-1.5273932308953429E-3</v>
      </c>
      <c r="AB67" s="60"/>
    </row>
    <row r="68" spans="2:77" ht="14.25" customHeight="1">
      <c r="B68" s="4">
        <v>246</v>
      </c>
      <c r="C68" s="5" t="s">
        <v>60</v>
      </c>
      <c r="D68" s="5" t="str">
        <f>REPLACE(C68,1,3, )</f>
        <v xml:space="preserve"> 468</v>
      </c>
      <c r="E68" s="6" t="s">
        <v>60</v>
      </c>
      <c r="F68" s="7">
        <f>IF(C68=E68,0,1)</f>
        <v>0</v>
      </c>
      <c r="G68" s="11" t="s">
        <v>20</v>
      </c>
      <c r="H68" s="11" t="s">
        <v>59</v>
      </c>
      <c r="I68" s="11" t="s">
        <v>360</v>
      </c>
      <c r="J68" s="12">
        <v>36000</v>
      </c>
      <c r="K68" s="13">
        <f>J68-M68</f>
        <v>4900</v>
      </c>
      <c r="L68" s="7" t="s">
        <v>23</v>
      </c>
      <c r="M68" s="14">
        <f>J68-N68</f>
        <v>31100</v>
      </c>
      <c r="N68" s="15">
        <f>2000+300+600+2000</f>
        <v>4900</v>
      </c>
      <c r="O68" s="39">
        <f>M68+N68</f>
        <v>36000</v>
      </c>
      <c r="P68" s="95"/>
      <c r="Q68" s="3" t="s">
        <v>389</v>
      </c>
      <c r="R68" s="36"/>
      <c r="S68" s="36">
        <f>R68+O68</f>
        <v>36000</v>
      </c>
      <c r="T68" s="36">
        <f>S68/0.7</f>
        <v>51428.571428571435</v>
      </c>
      <c r="U68" s="40">
        <f>T68/0.875</f>
        <v>58775.510204081642</v>
      </c>
      <c r="V68" s="41">
        <f>(U68-T68)/U68</f>
        <v>0.12500000000000003</v>
      </c>
      <c r="W68" s="40">
        <f>(ROUNDUP((U68/100),0))*100</f>
        <v>58800</v>
      </c>
      <c r="X68" s="42">
        <f>(T68-O68)/T68</f>
        <v>0.3000000000000001</v>
      </c>
      <c r="Y68" s="45">
        <v>52938</v>
      </c>
      <c r="Z68" s="46">
        <f>T68-Y68</f>
        <v>-1509.4285714285652</v>
      </c>
      <c r="AA68" s="47">
        <f>Z68/Y68</f>
        <v>-2.8513139359790041E-2</v>
      </c>
      <c r="AB68" s="60"/>
    </row>
    <row r="69" spans="2:77" ht="14.25" customHeight="1">
      <c r="B69" s="4">
        <v>247</v>
      </c>
      <c r="C69" s="5" t="s">
        <v>62</v>
      </c>
      <c r="D69" s="5" t="str">
        <f>REPLACE(C69,1,3, )</f>
        <v xml:space="preserve"> 397</v>
      </c>
      <c r="E69" s="6" t="s">
        <v>62</v>
      </c>
      <c r="F69" s="7">
        <f>IF(C69=E69,0,1)</f>
        <v>0</v>
      </c>
      <c r="G69" s="11" t="s">
        <v>20</v>
      </c>
      <c r="H69" s="11" t="s">
        <v>59</v>
      </c>
      <c r="I69" s="11" t="s">
        <v>334</v>
      </c>
      <c r="J69" s="12"/>
      <c r="K69" s="13">
        <f>J69-M69</f>
        <v>0</v>
      </c>
      <c r="L69" s="7"/>
      <c r="M69" s="14">
        <f>J69-N69</f>
        <v>0</v>
      </c>
      <c r="N69" s="14"/>
      <c r="O69" s="39">
        <f>M69+N69</f>
        <v>0</v>
      </c>
      <c r="P69" s="95"/>
      <c r="Q69" s="3"/>
      <c r="R69" s="36">
        <v>3000</v>
      </c>
      <c r="S69" s="36">
        <f>R69+O69</f>
        <v>3000</v>
      </c>
      <c r="T69" s="36">
        <f>S69/0.7</f>
        <v>4285.7142857142862</v>
      </c>
      <c r="U69" s="40">
        <f>T69/0.875</f>
        <v>4897.9591836734699</v>
      </c>
      <c r="V69" s="41">
        <f>(U69-T69)/U69</f>
        <v>0.12499999999999997</v>
      </c>
      <c r="W69" s="40">
        <f>(ROUNDUP((U69/100),0))*100</f>
        <v>4900</v>
      </c>
      <c r="X69" s="42">
        <f>(T69-O69)/T69</f>
        <v>1</v>
      </c>
      <c r="Y69" s="45">
        <v>50750</v>
      </c>
      <c r="Z69" s="46">
        <f>T69-Y69</f>
        <v>-46464.28571428571</v>
      </c>
      <c r="AA69" s="47">
        <f>Z69/Y69</f>
        <v>-0.91555242786769875</v>
      </c>
      <c r="AB69" s="60"/>
    </row>
    <row r="70" spans="2:77" ht="14.25" customHeight="1">
      <c r="B70" s="4">
        <v>248</v>
      </c>
      <c r="C70" s="5" t="s">
        <v>151</v>
      </c>
      <c r="D70" s="5" t="str">
        <f>REPLACE(C70,1,3, )</f>
        <v xml:space="preserve"> 773</v>
      </c>
      <c r="E70" s="6" t="s">
        <v>151</v>
      </c>
      <c r="F70" s="7">
        <f>IF(C70=E70,0,1)</f>
        <v>0</v>
      </c>
      <c r="G70" s="11" t="s">
        <v>298</v>
      </c>
      <c r="H70" s="11" t="s">
        <v>59</v>
      </c>
      <c r="I70" s="11" t="s">
        <v>336</v>
      </c>
      <c r="J70" s="12">
        <v>37900</v>
      </c>
      <c r="K70" s="13">
        <f>J70-M70</f>
        <v>4900</v>
      </c>
      <c r="L70" s="7" t="s">
        <v>23</v>
      </c>
      <c r="M70" s="14">
        <f>J70-N70</f>
        <v>33000</v>
      </c>
      <c r="N70" s="14">
        <f>2000+300+600+2000</f>
        <v>4900</v>
      </c>
      <c r="O70" s="39">
        <f>M70+N70</f>
        <v>37900</v>
      </c>
      <c r="P70" s="96"/>
      <c r="Q70" s="3" t="s">
        <v>389</v>
      </c>
      <c r="R70" s="36"/>
      <c r="S70" s="36">
        <f>R70+O70</f>
        <v>37900</v>
      </c>
      <c r="T70" s="36">
        <f>S70/0.7</f>
        <v>54142.857142857145</v>
      </c>
      <c r="U70" s="40">
        <f>T70/0.875</f>
        <v>61877.551020408166</v>
      </c>
      <c r="V70" s="41">
        <f>(U70-T70)/U70</f>
        <v>0.125</v>
      </c>
      <c r="W70" s="40">
        <f>(ROUNDUP((U70/100),0))*100</f>
        <v>61900</v>
      </c>
      <c r="X70" s="42">
        <f>(T70-O70)/T70</f>
        <v>0.30000000000000004</v>
      </c>
      <c r="Y70" s="43"/>
      <c r="Z70" s="43"/>
      <c r="AA70" s="43"/>
      <c r="AB70" s="59"/>
    </row>
    <row r="71" spans="2:77" ht="14.25" customHeight="1">
      <c r="B71" s="4">
        <v>249</v>
      </c>
      <c r="C71" s="5" t="s">
        <v>142</v>
      </c>
      <c r="D71" s="5" t="str">
        <f>REPLACE(C71,1,3, )</f>
        <v xml:space="preserve"> 187</v>
      </c>
      <c r="E71" s="6" t="s">
        <v>142</v>
      </c>
      <c r="F71" s="7">
        <f>IF(C71=E71,0,1)</f>
        <v>0</v>
      </c>
      <c r="G71" s="11" t="s">
        <v>298</v>
      </c>
      <c r="H71" s="11" t="s">
        <v>59</v>
      </c>
      <c r="I71" s="11" t="s">
        <v>333</v>
      </c>
      <c r="J71" s="12">
        <v>40900</v>
      </c>
      <c r="K71" s="13">
        <f>J71-M71</f>
        <v>5900</v>
      </c>
      <c r="L71" s="7" t="s">
        <v>23</v>
      </c>
      <c r="M71" s="14">
        <f>J71-N71</f>
        <v>35000</v>
      </c>
      <c r="N71" s="14">
        <f>2000+300+600+1000+2000</f>
        <v>5900</v>
      </c>
      <c r="O71" s="39">
        <f>M71+N71</f>
        <v>40900</v>
      </c>
      <c r="P71" s="94"/>
      <c r="Q71" s="3" t="s">
        <v>387</v>
      </c>
      <c r="R71" s="36"/>
      <c r="S71" s="36">
        <f>R71+O71</f>
        <v>40900</v>
      </c>
      <c r="T71" s="36">
        <f>S71/0.7</f>
        <v>58428.571428571435</v>
      </c>
      <c r="U71" s="40">
        <f>T71/0.875</f>
        <v>66775.510204081642</v>
      </c>
      <c r="V71" s="41">
        <f>(U71-T71)/U71</f>
        <v>0.12500000000000003</v>
      </c>
      <c r="W71" s="40">
        <f>(ROUNDUP((U71/100),0))*100</f>
        <v>66800</v>
      </c>
      <c r="X71" s="42">
        <f>(T71-O71)/T71</f>
        <v>0.3000000000000001</v>
      </c>
      <c r="Y71" s="43"/>
      <c r="Z71" s="43"/>
      <c r="AA71" s="43"/>
      <c r="AB71" s="59"/>
    </row>
    <row r="72" spans="2:77" ht="14.25" customHeight="1">
      <c r="B72" s="4">
        <v>250</v>
      </c>
      <c r="C72" s="5" t="s">
        <v>152</v>
      </c>
      <c r="D72" s="5" t="str">
        <f>REPLACE(C72,1,3, )</f>
        <v xml:space="preserve"> 460</v>
      </c>
      <c r="E72" s="6" t="s">
        <v>152</v>
      </c>
      <c r="F72" s="7">
        <f>IF(C72=E72,0,1)</f>
        <v>0</v>
      </c>
      <c r="G72" s="11" t="s">
        <v>298</v>
      </c>
      <c r="H72" s="11" t="s">
        <v>59</v>
      </c>
      <c r="I72" s="11" t="s">
        <v>336</v>
      </c>
      <c r="J72" s="12">
        <v>37900</v>
      </c>
      <c r="K72" s="13">
        <f>J72-M72</f>
        <v>4900</v>
      </c>
      <c r="L72" s="7" t="s">
        <v>23</v>
      </c>
      <c r="M72" s="14">
        <f>J72-N72</f>
        <v>33000</v>
      </c>
      <c r="N72" s="14">
        <f>2000+300+600+2000</f>
        <v>4900</v>
      </c>
      <c r="O72" s="39">
        <f>M72+N72</f>
        <v>37900</v>
      </c>
      <c r="P72" s="96"/>
      <c r="Q72" s="3" t="s">
        <v>389</v>
      </c>
      <c r="R72" s="36"/>
      <c r="S72" s="36">
        <f>R72+O72</f>
        <v>37900</v>
      </c>
      <c r="T72" s="36">
        <f>S72/0.7</f>
        <v>54142.857142857145</v>
      </c>
      <c r="U72" s="40">
        <f>T72/0.875</f>
        <v>61877.551020408166</v>
      </c>
      <c r="V72" s="41">
        <f>(U72-T72)/U72</f>
        <v>0.125</v>
      </c>
      <c r="W72" s="40">
        <f>(ROUNDUP((U72/100),0))*100</f>
        <v>61900</v>
      </c>
      <c r="X72" s="42">
        <f>(T72-O72)/T72</f>
        <v>0.30000000000000004</v>
      </c>
      <c r="Y72" s="43"/>
      <c r="Z72" s="43"/>
      <c r="AA72" s="44"/>
      <c r="AB72" s="60"/>
    </row>
    <row r="73" spans="2:77" ht="14.25" customHeight="1">
      <c r="B73" s="4">
        <v>251</v>
      </c>
      <c r="C73" s="5" t="s">
        <v>158</v>
      </c>
      <c r="D73" s="5" t="str">
        <f>REPLACE(C73,1,3, )</f>
        <v xml:space="preserve"> 914</v>
      </c>
      <c r="E73" s="6" t="s">
        <v>158</v>
      </c>
      <c r="F73" s="7">
        <f>IF(C73=E73,0,1)</f>
        <v>0</v>
      </c>
      <c r="G73" s="11" t="s">
        <v>298</v>
      </c>
      <c r="H73" s="11" t="s">
        <v>59</v>
      </c>
      <c r="I73" s="11" t="s">
        <v>336</v>
      </c>
      <c r="J73" s="12">
        <v>40900</v>
      </c>
      <c r="K73" s="13">
        <f>J73-M73</f>
        <v>5900</v>
      </c>
      <c r="L73" s="7" t="s">
        <v>23</v>
      </c>
      <c r="M73" s="14">
        <f>J73-N73</f>
        <v>35000</v>
      </c>
      <c r="N73" s="14">
        <f>2000+300+600+1000+2000</f>
        <v>5900</v>
      </c>
      <c r="O73" s="39">
        <f>M73+N73</f>
        <v>40900</v>
      </c>
      <c r="P73" s="94"/>
      <c r="Q73" s="3" t="s">
        <v>387</v>
      </c>
      <c r="R73" s="36"/>
      <c r="S73" s="36">
        <f>R73+O73</f>
        <v>40900</v>
      </c>
      <c r="T73" s="36">
        <f>S73/0.7</f>
        <v>58428.571428571435</v>
      </c>
      <c r="U73" s="40">
        <f>T73/0.875</f>
        <v>66775.510204081642</v>
      </c>
      <c r="V73" s="41">
        <f>(U73-T73)/U73</f>
        <v>0.12500000000000003</v>
      </c>
      <c r="W73" s="40">
        <f>(ROUNDUP((U73/100),0))*100</f>
        <v>66800</v>
      </c>
      <c r="X73" s="42">
        <f>(T73-O73)/T73</f>
        <v>0.3000000000000001</v>
      </c>
      <c r="Y73" s="43"/>
      <c r="Z73" s="43"/>
      <c r="AA73" s="44"/>
      <c r="AB73" s="60"/>
    </row>
    <row r="74" spans="2:77" ht="14.25" customHeight="1">
      <c r="B74" s="4">
        <v>252</v>
      </c>
      <c r="C74" s="38" t="s">
        <v>612</v>
      </c>
      <c r="D74" s="5" t="str">
        <f>REPLACE(C74,1,3, )</f>
        <v xml:space="preserve"> 797</v>
      </c>
      <c r="E74" s="6" t="s">
        <v>612</v>
      </c>
      <c r="F74" s="7">
        <f>IF(C74=E74,0,1)</f>
        <v>0</v>
      </c>
      <c r="G74" s="8" t="s">
        <v>298</v>
      </c>
      <c r="H74" s="8" t="s">
        <v>59</v>
      </c>
      <c r="I74" s="8" t="s">
        <v>613</v>
      </c>
      <c r="J74" s="12">
        <f>47500</f>
        <v>47500</v>
      </c>
      <c r="K74" s="13">
        <f>J74-M74</f>
        <v>5450</v>
      </c>
      <c r="L74" s="7" t="s">
        <v>23</v>
      </c>
      <c r="M74" s="14">
        <f>J74-N74</f>
        <v>42050</v>
      </c>
      <c r="N74" s="14">
        <f>2000+2000+600+200+650</f>
        <v>5450</v>
      </c>
      <c r="O74" s="39">
        <f>M74+N74</f>
        <v>47500</v>
      </c>
      <c r="P74" s="94"/>
      <c r="Q74" s="77" t="s">
        <v>1359</v>
      </c>
      <c r="R74" s="36"/>
      <c r="S74" s="36">
        <f>R74+O74</f>
        <v>47500</v>
      </c>
      <c r="T74" s="36">
        <f>S74/0.7</f>
        <v>67857.142857142855</v>
      </c>
      <c r="U74" s="40">
        <f>T74/0.875</f>
        <v>77551.020408163269</v>
      </c>
      <c r="V74" s="41">
        <f>(U74-T74)/U74</f>
        <v>0.12500000000000008</v>
      </c>
      <c r="W74" s="40">
        <f>(ROUNDUP((U74/100),0))*100</f>
        <v>77600</v>
      </c>
      <c r="X74" s="42">
        <f>(T74-O74)/T74</f>
        <v>0.3</v>
      </c>
      <c r="Y74" s="43"/>
      <c r="Z74" s="43"/>
      <c r="AA74" s="44"/>
      <c r="AB74" s="60"/>
    </row>
    <row r="75" spans="2:77" ht="14.25" customHeight="1">
      <c r="B75" s="4">
        <v>253</v>
      </c>
      <c r="C75" s="38" t="s">
        <v>614</v>
      </c>
      <c r="D75" s="5" t="str">
        <f>REPLACE(C75,1,3, )</f>
        <v xml:space="preserve"> 941</v>
      </c>
      <c r="E75" s="6" t="s">
        <v>614</v>
      </c>
      <c r="F75" s="7">
        <f>IF(C75=E75,0,1)</f>
        <v>0</v>
      </c>
      <c r="G75" s="8" t="s">
        <v>20</v>
      </c>
      <c r="H75" s="8" t="s">
        <v>59</v>
      </c>
      <c r="I75" s="8" t="s">
        <v>602</v>
      </c>
      <c r="J75" s="90">
        <v>65000</v>
      </c>
      <c r="K75" s="90">
        <f>J75-M75</f>
        <v>0</v>
      </c>
      <c r="L75" s="104" t="s">
        <v>1428</v>
      </c>
      <c r="M75" s="86">
        <f>J75</f>
        <v>65000</v>
      </c>
      <c r="N75" s="87">
        <f>2000+1750+800+300+650</f>
        <v>5500</v>
      </c>
      <c r="O75" s="101">
        <f>N75+M75</f>
        <v>70500</v>
      </c>
      <c r="P75" s="95"/>
      <c r="Q75" s="88" t="s">
        <v>1408</v>
      </c>
      <c r="R75" s="36"/>
      <c r="S75" s="36">
        <f>R75+O75</f>
        <v>70500</v>
      </c>
      <c r="T75" s="36">
        <f>S75/0.7</f>
        <v>100714.28571428572</v>
      </c>
      <c r="U75" s="40">
        <f>T75/0.875</f>
        <v>115102.04081632654</v>
      </c>
      <c r="V75" s="41">
        <f>(U75-T75)/U75</f>
        <v>0.12499999999999997</v>
      </c>
      <c r="W75" s="40">
        <f>(ROUNDUP((U75/100),0))*100</f>
        <v>115200</v>
      </c>
      <c r="X75" s="42">
        <f>(T75-O75)/T75</f>
        <v>0.3000000000000001</v>
      </c>
      <c r="Y75" s="45">
        <v>104300</v>
      </c>
      <c r="Z75" s="46">
        <f>T75-Y75</f>
        <v>-3585.7142857142753</v>
      </c>
      <c r="AA75" s="47">
        <f>Z75/Y75</f>
        <v>-3.4378852212025648E-2</v>
      </c>
      <c r="AB75" s="60"/>
    </row>
    <row r="76" spans="2:77" ht="14.4" customHeight="1">
      <c r="B76" s="4">
        <v>254</v>
      </c>
      <c r="C76" s="5" t="s">
        <v>144</v>
      </c>
      <c r="D76" s="5" t="str">
        <f>REPLACE(C76,1,3, )</f>
        <v xml:space="preserve"> 580</v>
      </c>
      <c r="E76" s="6" t="s">
        <v>144</v>
      </c>
      <c r="F76" s="7">
        <f>IF(C76=E76,0,1)</f>
        <v>0</v>
      </c>
      <c r="G76" s="11" t="s">
        <v>298</v>
      </c>
      <c r="H76" s="11" t="s">
        <v>59</v>
      </c>
      <c r="I76" s="11" t="s">
        <v>334</v>
      </c>
      <c r="J76" s="12">
        <v>30000</v>
      </c>
      <c r="K76" s="13">
        <f>J76-M76</f>
        <v>5900</v>
      </c>
      <c r="L76" s="7" t="s">
        <v>23</v>
      </c>
      <c r="M76" s="14">
        <f>J76-N76</f>
        <v>24100</v>
      </c>
      <c r="N76" s="14">
        <f>2000+300+600+1000+2000</f>
        <v>5900</v>
      </c>
      <c r="O76" s="39">
        <f>M76+N76</f>
        <v>30000</v>
      </c>
      <c r="P76" s="96"/>
      <c r="Q76" s="3" t="s">
        <v>387</v>
      </c>
      <c r="R76" s="36">
        <v>3000</v>
      </c>
      <c r="S76" s="36">
        <f>R76+O76</f>
        <v>33000</v>
      </c>
      <c r="T76" s="36">
        <f>S76/0.7</f>
        <v>47142.857142857145</v>
      </c>
      <c r="U76" s="40">
        <f>T76/0.875</f>
        <v>53877.551020408166</v>
      </c>
      <c r="V76" s="41">
        <f>(U76-T76)/U76</f>
        <v>0.125</v>
      </c>
      <c r="W76" s="40">
        <f>(ROUNDUP((U76/100),0))*100</f>
        <v>53900</v>
      </c>
      <c r="X76" s="42">
        <f>(T76-O76)/T76</f>
        <v>0.36363636363636365</v>
      </c>
      <c r="Y76" s="43"/>
      <c r="Z76" s="43"/>
      <c r="AA76" s="44"/>
      <c r="AB76" s="60"/>
    </row>
    <row r="77" spans="2:77" ht="14.4" customHeight="1">
      <c r="B77" s="4">
        <v>255</v>
      </c>
      <c r="C77" s="5" t="s">
        <v>143</v>
      </c>
      <c r="D77" s="5" t="str">
        <f>REPLACE(C77,1,3, )</f>
        <v xml:space="preserve"> 763</v>
      </c>
      <c r="E77" s="6" t="s">
        <v>143</v>
      </c>
      <c r="F77" s="7">
        <f>IF(C77=E77,0,1)</f>
        <v>0</v>
      </c>
      <c r="G77" s="11" t="s">
        <v>298</v>
      </c>
      <c r="H77" s="11" t="s">
        <v>59</v>
      </c>
      <c r="I77" s="11" t="s">
        <v>333</v>
      </c>
      <c r="J77" s="12">
        <v>41900</v>
      </c>
      <c r="K77" s="13">
        <f>J77-M77</f>
        <v>5900</v>
      </c>
      <c r="L77" s="7" t="s">
        <v>23</v>
      </c>
      <c r="M77" s="14">
        <f>J77-N77</f>
        <v>36000</v>
      </c>
      <c r="N77" s="14">
        <f>2000+300+600+1000+2000</f>
        <v>5900</v>
      </c>
      <c r="O77" s="39">
        <f>M77+N77</f>
        <v>41900</v>
      </c>
      <c r="P77" s="96"/>
      <c r="Q77" s="3" t="s">
        <v>387</v>
      </c>
      <c r="R77" s="36"/>
      <c r="S77" s="36">
        <f>R77+O77</f>
        <v>41900</v>
      </c>
      <c r="T77" s="36">
        <f>S77/0.7</f>
        <v>59857.142857142862</v>
      </c>
      <c r="U77" s="40">
        <f>T77/0.875</f>
        <v>68408.163265306124</v>
      </c>
      <c r="V77" s="41">
        <f>(U77-T77)/U77</f>
        <v>0.12499999999999994</v>
      </c>
      <c r="W77" s="40">
        <f>(ROUNDUP((U77/100),0))*100</f>
        <v>68500</v>
      </c>
      <c r="X77" s="42">
        <f>(T77-O77)/T77</f>
        <v>0.30000000000000004</v>
      </c>
      <c r="Y77" s="43"/>
      <c r="Z77" s="43"/>
      <c r="AA77" s="44"/>
      <c r="AB77" s="60"/>
    </row>
    <row r="78" spans="2:77" ht="14.4" customHeight="1">
      <c r="B78" s="4">
        <v>256</v>
      </c>
      <c r="C78" s="5" t="s">
        <v>61</v>
      </c>
      <c r="D78" s="5" t="str">
        <f>REPLACE(C78,1,3, )</f>
        <v xml:space="preserve"> 805</v>
      </c>
      <c r="E78" s="6" t="s">
        <v>61</v>
      </c>
      <c r="F78" s="7">
        <f>IF(C78=E78,0,1)</f>
        <v>0</v>
      </c>
      <c r="G78" s="11" t="s">
        <v>20</v>
      </c>
      <c r="H78" s="11" t="s">
        <v>59</v>
      </c>
      <c r="I78" s="11" t="s">
        <v>334</v>
      </c>
      <c r="J78" s="12">
        <v>32000</v>
      </c>
      <c r="K78" s="13">
        <f>J78-M78</f>
        <v>5900</v>
      </c>
      <c r="L78" s="7" t="s">
        <v>23</v>
      </c>
      <c r="M78" s="14">
        <f>J78-N78</f>
        <v>26100</v>
      </c>
      <c r="N78" s="14">
        <f>2000+300+600+1000+2000</f>
        <v>5900</v>
      </c>
      <c r="O78" s="39">
        <f>M78+N78</f>
        <v>32000</v>
      </c>
      <c r="P78" s="96"/>
      <c r="Q78" s="3" t="s">
        <v>387</v>
      </c>
      <c r="R78" s="36">
        <v>3000</v>
      </c>
      <c r="S78" s="36">
        <f>R78+O78</f>
        <v>35000</v>
      </c>
      <c r="T78" s="36">
        <f>S78/0.7</f>
        <v>50000</v>
      </c>
      <c r="U78" s="40">
        <f>T78/0.875</f>
        <v>57142.857142857145</v>
      </c>
      <c r="V78" s="41">
        <f>(U78-T78)/U78</f>
        <v>0.12500000000000003</v>
      </c>
      <c r="W78" s="40">
        <f>(ROUNDUP((U78/100),0))*100</f>
        <v>57200</v>
      </c>
      <c r="X78" s="42">
        <f>(T78-O78)/T78</f>
        <v>0.36</v>
      </c>
      <c r="Y78" s="45">
        <v>50050</v>
      </c>
      <c r="Z78" s="46">
        <f>T78-Y78</f>
        <v>-50</v>
      </c>
      <c r="AA78" s="47">
        <f>Z78/Y78</f>
        <v>-9.99000999000999E-4</v>
      </c>
      <c r="AB78" s="60"/>
      <c r="BY78" s="78"/>
    </row>
    <row r="79" spans="2:77" ht="14.4" customHeight="1">
      <c r="B79" s="4">
        <v>257</v>
      </c>
      <c r="C79" s="5" t="s">
        <v>105</v>
      </c>
      <c r="D79" s="5" t="str">
        <f>REPLACE(C79,1,3, )</f>
        <v xml:space="preserve"> 123</v>
      </c>
      <c r="E79" s="6" t="s">
        <v>105</v>
      </c>
      <c r="F79" s="7">
        <f>IF(C79=E79,0,1)</f>
        <v>0</v>
      </c>
      <c r="G79" s="11" t="s">
        <v>20</v>
      </c>
      <c r="H79" s="11" t="s">
        <v>59</v>
      </c>
      <c r="I79" s="11" t="s">
        <v>334</v>
      </c>
      <c r="J79" s="12">
        <v>27550</v>
      </c>
      <c r="K79" s="13">
        <f>J79-M79</f>
        <v>4900</v>
      </c>
      <c r="L79" s="7" t="s">
        <v>23</v>
      </c>
      <c r="M79" s="14">
        <f>J79-N79</f>
        <v>22650</v>
      </c>
      <c r="N79" s="14">
        <f>2000+300+600+2000</f>
        <v>4900</v>
      </c>
      <c r="O79" s="39">
        <f>M79+N79</f>
        <v>27550</v>
      </c>
      <c r="P79" s="96"/>
      <c r="Q79" s="3" t="s">
        <v>389</v>
      </c>
      <c r="R79" s="36">
        <v>3000</v>
      </c>
      <c r="S79" s="36">
        <f>R79+O79</f>
        <v>30550</v>
      </c>
      <c r="T79" s="36">
        <f>S79/0.7</f>
        <v>43642.857142857145</v>
      </c>
      <c r="U79" s="40">
        <f>T79/0.875</f>
        <v>49877.551020408166</v>
      </c>
      <c r="V79" s="41">
        <f>(U79-T79)/U79</f>
        <v>0.125</v>
      </c>
      <c r="W79" s="40">
        <f>(ROUNDUP((U79/100),0))*100</f>
        <v>49900</v>
      </c>
      <c r="X79" s="42">
        <f>(T79-O79)/T79</f>
        <v>0.36873977086743048</v>
      </c>
      <c r="Y79" s="45">
        <v>39375</v>
      </c>
      <c r="Z79" s="46">
        <f>T79-Y79</f>
        <v>4267.8571428571449</v>
      </c>
      <c r="AA79" s="47">
        <f>Z79/Y79</f>
        <v>0.10839002267573701</v>
      </c>
      <c r="AB79" s="60"/>
    </row>
    <row r="80" spans="2:77" ht="14.4" customHeight="1">
      <c r="B80" s="4">
        <v>258</v>
      </c>
      <c r="C80" s="5" t="s">
        <v>1346</v>
      </c>
      <c r="D80" s="5" t="str">
        <f>REPLACE(C80,1,3, )</f>
        <v xml:space="preserve"> 943</v>
      </c>
      <c r="E80" s="6" t="s">
        <v>1346</v>
      </c>
      <c r="F80" s="7">
        <f>IF(C80=E80,0,1)</f>
        <v>0</v>
      </c>
      <c r="G80" s="11" t="s">
        <v>298</v>
      </c>
      <c r="H80" s="11" t="s">
        <v>59</v>
      </c>
      <c r="I80" s="11" t="s">
        <v>337</v>
      </c>
      <c r="J80" s="12">
        <v>38000</v>
      </c>
      <c r="K80" s="13">
        <f>J80-M80</f>
        <v>5900</v>
      </c>
      <c r="L80" s="7" t="s">
        <v>23</v>
      </c>
      <c r="M80" s="14">
        <f>J80-N80</f>
        <v>32100</v>
      </c>
      <c r="N80" s="14">
        <f>2000+300+600+1000+2000</f>
        <v>5900</v>
      </c>
      <c r="O80" s="39">
        <f>M80+N80</f>
        <v>38000</v>
      </c>
      <c r="P80" s="95"/>
      <c r="Q80" s="3" t="s">
        <v>387</v>
      </c>
      <c r="R80" s="36"/>
      <c r="S80" s="36">
        <f>R80+O80</f>
        <v>38000</v>
      </c>
      <c r="T80" s="36">
        <f>S80/0.7</f>
        <v>54285.71428571429</v>
      </c>
      <c r="U80" s="40">
        <f>T80/0.875</f>
        <v>62040.816326530614</v>
      </c>
      <c r="V80" s="41">
        <f>(U80-T80)/U80</f>
        <v>0.12499999999999996</v>
      </c>
      <c r="W80" s="40">
        <f>(ROUNDUP((U80/100),0))*100</f>
        <v>62100</v>
      </c>
      <c r="X80" s="42">
        <f>(T80-O80)/T80</f>
        <v>0.30000000000000004</v>
      </c>
      <c r="Y80" s="43"/>
      <c r="Z80" s="43"/>
      <c r="AA80" s="43"/>
      <c r="AB80" s="59"/>
    </row>
    <row r="81" spans="2:76" ht="14.4" customHeight="1">
      <c r="B81" s="4">
        <v>259</v>
      </c>
      <c r="C81" s="38" t="s">
        <v>615</v>
      </c>
      <c r="D81" s="5" t="str">
        <f>REPLACE(C81,1,3, )</f>
        <v xml:space="preserve"> 647</v>
      </c>
      <c r="E81" s="6" t="s">
        <v>615</v>
      </c>
      <c r="F81" s="7">
        <f>IF(C81=E81,0,1)</f>
        <v>0</v>
      </c>
      <c r="G81" s="8" t="s">
        <v>20</v>
      </c>
      <c r="H81" s="8" t="s">
        <v>59</v>
      </c>
      <c r="I81" s="8" t="s">
        <v>616</v>
      </c>
      <c r="J81" s="12"/>
      <c r="K81" s="13">
        <f>J81-M81</f>
        <v>0</v>
      </c>
      <c r="L81" s="7"/>
      <c r="M81" s="14">
        <f>J81-N81</f>
        <v>0</v>
      </c>
      <c r="N81" s="14"/>
      <c r="O81" s="39">
        <f>M81+N81</f>
        <v>0</v>
      </c>
      <c r="P81" s="95"/>
      <c r="Q81" s="3"/>
      <c r="R81" s="36"/>
      <c r="S81" s="36">
        <f>R81+O81</f>
        <v>0</v>
      </c>
      <c r="T81" s="36">
        <f>S81/0.7</f>
        <v>0</v>
      </c>
      <c r="U81" s="40">
        <f>T81/0.875</f>
        <v>0</v>
      </c>
      <c r="V81" s="41" t="e">
        <f>(U81-T81)/U81</f>
        <v>#DIV/0!</v>
      </c>
      <c r="W81" s="40">
        <f>(ROUNDUP((U81/100),0))*100</f>
        <v>0</v>
      </c>
      <c r="X81" s="42" t="e">
        <f>(T81-O81)/T81</f>
        <v>#DIV/0!</v>
      </c>
      <c r="Y81" s="45">
        <v>60638</v>
      </c>
      <c r="Z81" s="46">
        <f>T81-Y81</f>
        <v>-60638</v>
      </c>
      <c r="AA81" s="47">
        <f>Z81/Y81</f>
        <v>-1</v>
      </c>
      <c r="AB81" s="60"/>
    </row>
    <row r="82" spans="2:76" ht="14.4" customHeight="1">
      <c r="B82" s="4">
        <v>260</v>
      </c>
      <c r="C82" s="5" t="s">
        <v>154</v>
      </c>
      <c r="D82" s="5" t="str">
        <f>REPLACE(C82,1,3, )</f>
        <v xml:space="preserve"> 755</v>
      </c>
      <c r="E82" s="6" t="s">
        <v>154</v>
      </c>
      <c r="F82" s="7">
        <f>IF(C82=E82,0,1)</f>
        <v>0</v>
      </c>
      <c r="G82" s="11" t="s">
        <v>298</v>
      </c>
      <c r="H82" s="11" t="s">
        <v>59</v>
      </c>
      <c r="I82" s="11" t="s">
        <v>336</v>
      </c>
      <c r="J82" s="12">
        <v>37900</v>
      </c>
      <c r="K82" s="13">
        <f>J82-M82</f>
        <v>4900</v>
      </c>
      <c r="L82" s="7" t="s">
        <v>23</v>
      </c>
      <c r="M82" s="14">
        <f>J82-N82</f>
        <v>33000</v>
      </c>
      <c r="N82" s="14">
        <f>2000+300+600+2000</f>
        <v>4900</v>
      </c>
      <c r="O82" s="39">
        <f>M82+N82</f>
        <v>37900</v>
      </c>
      <c r="P82" s="95"/>
      <c r="Q82" s="3" t="s">
        <v>389</v>
      </c>
      <c r="R82" s="36"/>
      <c r="S82" s="36">
        <f>R82+O82</f>
        <v>37900</v>
      </c>
      <c r="T82" s="36">
        <f>S82/0.7</f>
        <v>54142.857142857145</v>
      </c>
      <c r="U82" s="40">
        <f>T82/0.875</f>
        <v>61877.551020408166</v>
      </c>
      <c r="V82" s="41">
        <f>(U82-T82)/U82</f>
        <v>0.125</v>
      </c>
      <c r="W82" s="40">
        <f>(ROUNDUP((U82/100),0))*100</f>
        <v>61900</v>
      </c>
      <c r="X82" s="42">
        <f>(T82-O82)/T82</f>
        <v>0.30000000000000004</v>
      </c>
      <c r="Y82" s="43"/>
      <c r="Z82" s="43"/>
      <c r="AA82" s="43"/>
      <c r="AB82" s="59"/>
    </row>
    <row r="83" spans="2:76" ht="14.4" customHeight="1">
      <c r="B83" s="4">
        <v>261</v>
      </c>
      <c r="C83" s="38" t="s">
        <v>147</v>
      </c>
      <c r="D83" s="5" t="str">
        <f>REPLACE(C83,1,3, )</f>
        <v xml:space="preserve"> 360</v>
      </c>
      <c r="E83" s="6" t="s">
        <v>147</v>
      </c>
      <c r="F83" s="7">
        <f>IF(C83=E83,0,1)</f>
        <v>0</v>
      </c>
      <c r="G83" s="8" t="s">
        <v>298</v>
      </c>
      <c r="H83" s="8" t="s">
        <v>59</v>
      </c>
      <c r="I83" s="8" t="s">
        <v>334</v>
      </c>
      <c r="J83" s="12"/>
      <c r="K83" s="13">
        <f>J83-M83</f>
        <v>0</v>
      </c>
      <c r="L83" s="7"/>
      <c r="M83" s="14">
        <f>J83-N83</f>
        <v>0</v>
      </c>
      <c r="N83" s="14"/>
      <c r="O83" s="39">
        <f>M83+N83</f>
        <v>0</v>
      </c>
      <c r="P83" s="95"/>
      <c r="Q83" s="3"/>
      <c r="R83" s="36">
        <v>3000</v>
      </c>
      <c r="S83" s="36">
        <f>R83+O83</f>
        <v>3000</v>
      </c>
      <c r="T83" s="36">
        <f>S83/0.7</f>
        <v>4285.7142857142862</v>
      </c>
      <c r="U83" s="40">
        <f>T83/0.875</f>
        <v>4897.9591836734699</v>
      </c>
      <c r="V83" s="41">
        <f>(U83-T83)/U83</f>
        <v>0.12499999999999997</v>
      </c>
      <c r="W83" s="40">
        <f>(ROUNDUP((U83/100),0))*100</f>
        <v>4900</v>
      </c>
      <c r="X83" s="42">
        <f>(T83-O83)/T83</f>
        <v>1</v>
      </c>
      <c r="Y83" s="43"/>
      <c r="Z83" s="43"/>
      <c r="AA83" s="43"/>
      <c r="AB83" s="59"/>
    </row>
    <row r="84" spans="2:76" ht="14.4" customHeight="1">
      <c r="B84" s="4">
        <v>262</v>
      </c>
      <c r="C84" s="5" t="s">
        <v>64</v>
      </c>
      <c r="D84" s="5" t="str">
        <f>REPLACE(C84,1,3, )</f>
        <v xml:space="preserve"> 242</v>
      </c>
      <c r="E84" s="6" t="s">
        <v>64</v>
      </c>
      <c r="F84" s="7">
        <f>IF(C84=E84,0,1)</f>
        <v>0</v>
      </c>
      <c r="G84" s="11" t="s">
        <v>20</v>
      </c>
      <c r="H84" s="11" t="s">
        <v>59</v>
      </c>
      <c r="I84" s="11" t="s">
        <v>334</v>
      </c>
      <c r="J84" s="12">
        <v>27000</v>
      </c>
      <c r="K84" s="13">
        <f>J84-M84</f>
        <v>4900</v>
      </c>
      <c r="L84" s="7" t="s">
        <v>23</v>
      </c>
      <c r="M84" s="14">
        <f>J84-N84</f>
        <v>22100</v>
      </c>
      <c r="N84" s="14">
        <f>2000+300+600+2000</f>
        <v>4900</v>
      </c>
      <c r="O84" s="39">
        <f>M84+N84</f>
        <v>27000</v>
      </c>
      <c r="P84" s="96"/>
      <c r="Q84" s="3" t="s">
        <v>389</v>
      </c>
      <c r="R84" s="36">
        <v>3000</v>
      </c>
      <c r="S84" s="36">
        <f>R84+O84</f>
        <v>30000</v>
      </c>
      <c r="T84" s="36">
        <f>S84/0.7</f>
        <v>42857.142857142862</v>
      </c>
      <c r="U84" s="40">
        <f>T84/0.875</f>
        <v>48979.591836734697</v>
      </c>
      <c r="V84" s="41">
        <f>(U84-T84)/U84</f>
        <v>0.12499999999999994</v>
      </c>
      <c r="W84" s="40">
        <f>(ROUNDUP((U84/100),0))*100</f>
        <v>49000</v>
      </c>
      <c r="X84" s="42">
        <f>(T84-O84)/T84</f>
        <v>0.37000000000000005</v>
      </c>
      <c r="Y84" s="45">
        <v>40075</v>
      </c>
      <c r="Z84" s="46">
        <f>T84-Y84</f>
        <v>2782.1428571428623</v>
      </c>
      <c r="AA84" s="47">
        <f>Z84/Y84</f>
        <v>6.9423402548792576E-2</v>
      </c>
      <c r="AB84" s="60"/>
    </row>
    <row r="85" spans="2:76" ht="14.4" customHeight="1">
      <c r="B85" s="4">
        <v>263</v>
      </c>
      <c r="C85" s="5" t="s">
        <v>63</v>
      </c>
      <c r="D85" s="5" t="str">
        <f>REPLACE(C85,1,3, )</f>
        <v xml:space="preserve"> 993</v>
      </c>
      <c r="E85" s="6" t="s">
        <v>63</v>
      </c>
      <c r="F85" s="7">
        <f>IF(C85=E85,0,1)</f>
        <v>0</v>
      </c>
      <c r="G85" s="11" t="s">
        <v>20</v>
      </c>
      <c r="H85" s="11" t="s">
        <v>59</v>
      </c>
      <c r="I85" s="11" t="s">
        <v>334</v>
      </c>
      <c r="J85" s="12">
        <v>27000</v>
      </c>
      <c r="K85" s="13">
        <f>J85-M85</f>
        <v>4900</v>
      </c>
      <c r="L85" s="7" t="s">
        <v>23</v>
      </c>
      <c r="M85" s="14">
        <f>J85-N85</f>
        <v>22100</v>
      </c>
      <c r="N85" s="14">
        <f>2000+300+600+2000</f>
        <v>4900</v>
      </c>
      <c r="O85" s="39">
        <f>M85+N85</f>
        <v>27000</v>
      </c>
      <c r="P85" s="95"/>
      <c r="Q85" s="3" t="s">
        <v>389</v>
      </c>
      <c r="R85" s="36">
        <v>3000</v>
      </c>
      <c r="S85" s="36">
        <f>R85+O85</f>
        <v>30000</v>
      </c>
      <c r="T85" s="36">
        <f>S85/0.7</f>
        <v>42857.142857142862</v>
      </c>
      <c r="U85" s="40">
        <f>T85/0.875</f>
        <v>48979.591836734697</v>
      </c>
      <c r="V85" s="41">
        <f>(U85-T85)/U85</f>
        <v>0.12499999999999994</v>
      </c>
      <c r="W85" s="40">
        <f>(ROUNDUP((U85/100),0))*100</f>
        <v>49000</v>
      </c>
      <c r="X85" s="42">
        <f>(T85-O85)/T85</f>
        <v>0.37000000000000005</v>
      </c>
      <c r="Y85" s="45">
        <v>40075</v>
      </c>
      <c r="Z85" s="46">
        <f>T85-Y85</f>
        <v>2782.1428571428623</v>
      </c>
      <c r="AA85" s="47">
        <f>Z85/Y85</f>
        <v>6.9423402548792576E-2</v>
      </c>
      <c r="AB85" s="60"/>
    </row>
    <row r="86" spans="2:76" ht="14.4" customHeight="1">
      <c r="B86" s="4">
        <v>264</v>
      </c>
      <c r="C86" s="5" t="s">
        <v>146</v>
      </c>
      <c r="D86" s="5" t="str">
        <f>REPLACE(C86,1,3, )</f>
        <v xml:space="preserve"> 764</v>
      </c>
      <c r="E86" s="6" t="s">
        <v>146</v>
      </c>
      <c r="F86" s="7">
        <f>IF(C86=E86,0,1)</f>
        <v>0</v>
      </c>
      <c r="G86" s="11" t="s">
        <v>298</v>
      </c>
      <c r="H86" s="11" t="s">
        <v>59</v>
      </c>
      <c r="I86" s="11" t="s">
        <v>334</v>
      </c>
      <c r="J86" s="12">
        <v>30000</v>
      </c>
      <c r="K86" s="13">
        <f>J86-M86</f>
        <v>4900</v>
      </c>
      <c r="L86" s="7" t="s">
        <v>23</v>
      </c>
      <c r="M86" s="14">
        <f>J86-N86</f>
        <v>25100</v>
      </c>
      <c r="N86" s="14">
        <f>2000+300+600+2000</f>
        <v>4900</v>
      </c>
      <c r="O86" s="39">
        <f>M86+N86</f>
        <v>30000</v>
      </c>
      <c r="P86" s="95"/>
      <c r="Q86" s="3" t="s">
        <v>389</v>
      </c>
      <c r="R86" s="36">
        <v>3000</v>
      </c>
      <c r="S86" s="36">
        <f>R86+O86</f>
        <v>33000</v>
      </c>
      <c r="T86" s="36">
        <f>S86/0.7</f>
        <v>47142.857142857145</v>
      </c>
      <c r="U86" s="40">
        <f>T86/0.875</f>
        <v>53877.551020408166</v>
      </c>
      <c r="V86" s="41">
        <f>(U86-T86)/U86</f>
        <v>0.125</v>
      </c>
      <c r="W86" s="40">
        <f>(ROUNDUP((U86/100),0))*100</f>
        <v>53900</v>
      </c>
      <c r="X86" s="42">
        <f>(T86-O86)/T86</f>
        <v>0.36363636363636365</v>
      </c>
      <c r="Y86" s="43"/>
      <c r="Z86" s="43"/>
      <c r="AA86" s="43"/>
      <c r="AB86" s="59"/>
    </row>
    <row r="87" spans="2:76" ht="14.4" customHeight="1">
      <c r="B87" s="4">
        <v>266</v>
      </c>
      <c r="C87" s="5" t="s">
        <v>157</v>
      </c>
      <c r="D87" s="5" t="str">
        <f>REPLACE(C87,1,3, )</f>
        <v xml:space="preserve"> 406</v>
      </c>
      <c r="E87" s="6" t="s">
        <v>157</v>
      </c>
      <c r="F87" s="7">
        <f>IF(C87=E87,0,1)</f>
        <v>0</v>
      </c>
      <c r="G87" s="11" t="s">
        <v>298</v>
      </c>
      <c r="H87" s="11" t="s">
        <v>59</v>
      </c>
      <c r="I87" s="11" t="s">
        <v>336</v>
      </c>
      <c r="J87" s="12">
        <v>37900</v>
      </c>
      <c r="K87" s="13">
        <f>J87-M87</f>
        <v>4900</v>
      </c>
      <c r="L87" s="7" t="s">
        <v>23</v>
      </c>
      <c r="M87" s="14">
        <f>J87-N87</f>
        <v>33000</v>
      </c>
      <c r="N87" s="14">
        <f>2000+300+600+2000</f>
        <v>4900</v>
      </c>
      <c r="O87" s="39">
        <f>M87+N87</f>
        <v>37900</v>
      </c>
      <c r="P87" s="94"/>
      <c r="Q87" s="3" t="s">
        <v>389</v>
      </c>
      <c r="R87" s="36"/>
      <c r="S87" s="36">
        <f>R87+O87</f>
        <v>37900</v>
      </c>
      <c r="T87" s="36">
        <f>S87/0.7</f>
        <v>54142.857142857145</v>
      </c>
      <c r="U87" s="40">
        <f>T87/0.875</f>
        <v>61877.551020408166</v>
      </c>
      <c r="V87" s="41">
        <f>(U87-T87)/U87</f>
        <v>0.125</v>
      </c>
      <c r="W87" s="40">
        <f>(ROUNDUP((U87/100),0))*100</f>
        <v>61900</v>
      </c>
      <c r="X87" s="42">
        <f>(T87-O87)/T87</f>
        <v>0.30000000000000004</v>
      </c>
      <c r="Y87" s="43"/>
      <c r="Z87" s="43"/>
      <c r="AA87" s="43"/>
      <c r="AB87" s="59"/>
    </row>
    <row r="88" spans="2:76" ht="14.4" customHeight="1">
      <c r="B88" s="4">
        <v>267</v>
      </c>
      <c r="C88" s="5" t="s">
        <v>145</v>
      </c>
      <c r="D88" s="5" t="str">
        <f>REPLACE(C88,1,3, )</f>
        <v xml:space="preserve"> 699</v>
      </c>
      <c r="E88" s="6" t="s">
        <v>145</v>
      </c>
      <c r="F88" s="7">
        <f>IF(C88=E88,0,1)</f>
        <v>0</v>
      </c>
      <c r="G88" s="11" t="s">
        <v>298</v>
      </c>
      <c r="H88" s="11" t="s">
        <v>59</v>
      </c>
      <c r="I88" s="11" t="s">
        <v>334</v>
      </c>
      <c r="J88" s="12">
        <v>30000</v>
      </c>
      <c r="K88" s="13">
        <f>J88-M88</f>
        <v>4900</v>
      </c>
      <c r="L88" s="7" t="s">
        <v>23</v>
      </c>
      <c r="M88" s="14">
        <f>J88-N88</f>
        <v>25100</v>
      </c>
      <c r="N88" s="14">
        <f>2000+300+600+2000</f>
        <v>4900</v>
      </c>
      <c r="O88" s="39">
        <f>M88+N88</f>
        <v>30000</v>
      </c>
      <c r="P88" s="94"/>
      <c r="Q88" s="3" t="s">
        <v>389</v>
      </c>
      <c r="R88" s="36">
        <v>3000</v>
      </c>
      <c r="S88" s="36">
        <f>R88+O88</f>
        <v>33000</v>
      </c>
      <c r="T88" s="36">
        <f>S88/0.7</f>
        <v>47142.857142857145</v>
      </c>
      <c r="U88" s="40">
        <f>T88/0.875</f>
        <v>53877.551020408166</v>
      </c>
      <c r="V88" s="41">
        <f>(U88-T88)/U88</f>
        <v>0.125</v>
      </c>
      <c r="W88" s="40">
        <f>(ROUNDUP((U88/100),0))*100</f>
        <v>53900</v>
      </c>
      <c r="X88" s="42">
        <f>(T88-O88)/T88</f>
        <v>0.36363636363636365</v>
      </c>
      <c r="Y88" s="43"/>
      <c r="Z88" s="43"/>
      <c r="AA88" s="44"/>
      <c r="AB88" s="60"/>
    </row>
    <row r="89" spans="2:76" ht="14.4" customHeight="1">
      <c r="B89" s="4">
        <v>268</v>
      </c>
      <c r="C89" s="5" t="s">
        <v>148</v>
      </c>
      <c r="D89" s="5" t="str">
        <f>REPLACE(C89,1,3, )</f>
        <v xml:space="preserve"> 770</v>
      </c>
      <c r="E89" s="6" t="s">
        <v>148</v>
      </c>
      <c r="F89" s="7">
        <f>IF(C89=E89,0,1)</f>
        <v>0</v>
      </c>
      <c r="G89" s="11" t="s">
        <v>298</v>
      </c>
      <c r="H89" s="11" t="s">
        <v>59</v>
      </c>
      <c r="I89" s="11" t="s">
        <v>334</v>
      </c>
      <c r="J89" s="12">
        <v>30000</v>
      </c>
      <c r="K89" s="13">
        <f>J89-M89</f>
        <v>4900</v>
      </c>
      <c r="L89" s="7" t="s">
        <v>23</v>
      </c>
      <c r="M89" s="14">
        <f>J89-N89</f>
        <v>25100</v>
      </c>
      <c r="N89" s="14">
        <f>2000+300+600+2000</f>
        <v>4900</v>
      </c>
      <c r="O89" s="39">
        <f>M89+N89</f>
        <v>30000</v>
      </c>
      <c r="P89" s="96"/>
      <c r="Q89" s="3" t="s">
        <v>389</v>
      </c>
      <c r="R89" s="36">
        <v>3000</v>
      </c>
      <c r="S89" s="36">
        <f>R89+O89</f>
        <v>33000</v>
      </c>
      <c r="T89" s="36">
        <f>S89/0.7</f>
        <v>47142.857142857145</v>
      </c>
      <c r="U89" s="40">
        <f>T89/0.875</f>
        <v>53877.551020408166</v>
      </c>
      <c r="V89" s="41">
        <f>(U89-T89)/U89</f>
        <v>0.125</v>
      </c>
      <c r="W89" s="40">
        <f>(ROUNDUP((U89/100),0))*100</f>
        <v>53900</v>
      </c>
      <c r="X89" s="42">
        <f>(T89-O89)/T89</f>
        <v>0.36363636363636365</v>
      </c>
      <c r="Y89" s="43"/>
      <c r="Z89" s="43"/>
      <c r="AA89" s="44"/>
      <c r="AB89" s="173" t="s">
        <v>1556</v>
      </c>
      <c r="AC89" s="165">
        <v>61952.38095238094</v>
      </c>
      <c r="AD89" s="146">
        <v>71761.904761904749</v>
      </c>
      <c r="AE89" s="147">
        <v>75068</v>
      </c>
      <c r="AF89" s="148">
        <v>-0.13669542136695423</v>
      </c>
      <c r="AG89" s="149">
        <v>45900</v>
      </c>
      <c r="AH89" s="150">
        <v>38040</v>
      </c>
      <c r="AI89" s="146">
        <v>46897.142857142862</v>
      </c>
      <c r="AJ89" s="146">
        <v>54166</v>
      </c>
      <c r="AK89" s="151"/>
      <c r="AL89" s="155">
        <v>46247</v>
      </c>
      <c r="AM89" s="146">
        <v>56274.285714285717</v>
      </c>
      <c r="AN89" s="146">
        <v>51781</v>
      </c>
      <c r="AO89" s="151">
        <v>69204</v>
      </c>
      <c r="AP89" s="156">
        <v>77456</v>
      </c>
      <c r="AQ89" s="146">
        <v>67050</v>
      </c>
      <c r="AR89" s="146">
        <v>67050</v>
      </c>
      <c r="AS89" s="151"/>
      <c r="AT89" s="156">
        <v>67185</v>
      </c>
      <c r="AU89" s="146">
        <v>68400</v>
      </c>
      <c r="AV89" s="151"/>
      <c r="AW89" s="149"/>
      <c r="AX89" s="151"/>
      <c r="AY89" s="151"/>
      <c r="AZ89" s="151">
        <v>53985</v>
      </c>
      <c r="BA89" s="188">
        <v>51435</v>
      </c>
      <c r="BB89" s="146">
        <v>62968</v>
      </c>
      <c r="BC89" s="146">
        <v>57576</v>
      </c>
      <c r="BD89" s="151"/>
      <c r="BE89" s="158"/>
      <c r="BF89" s="150">
        <v>51382.857142857145</v>
      </c>
      <c r="BG89" s="163">
        <v>46286</v>
      </c>
      <c r="BH89" s="151">
        <v>76864</v>
      </c>
      <c r="BI89" s="156">
        <v>72499</v>
      </c>
      <c r="BJ89" s="146">
        <v>66722.857142857145</v>
      </c>
      <c r="BK89" s="146">
        <v>57667</v>
      </c>
      <c r="BL89" s="151"/>
      <c r="BM89" s="158"/>
      <c r="BN89" s="146">
        <v>67261.42857142858</v>
      </c>
      <c r="BO89" s="146">
        <v>61841</v>
      </c>
      <c r="BP89" s="151"/>
      <c r="BQ89" s="149"/>
      <c r="BR89" s="151"/>
      <c r="BS89" s="151"/>
      <c r="BT89" s="151"/>
      <c r="BU89" s="149"/>
      <c r="BV89" s="146">
        <v>64430.000000000007</v>
      </c>
      <c r="BW89" s="146">
        <v>67417</v>
      </c>
      <c r="BX89" s="153"/>
    </row>
    <row r="90" spans="2:76" ht="14.4" customHeight="1">
      <c r="B90" s="4">
        <v>100</v>
      </c>
      <c r="C90" s="5" t="s">
        <v>31</v>
      </c>
      <c r="D90" s="5" t="str">
        <f>REPLACE(C90,1,3, )</f>
        <v xml:space="preserve"> 603</v>
      </c>
      <c r="E90" s="6" t="s">
        <v>31</v>
      </c>
      <c r="F90" s="7">
        <f>IF(C90=E90,0,1)</f>
        <v>0</v>
      </c>
      <c r="G90" s="11" t="s">
        <v>20</v>
      </c>
      <c r="H90" s="11" t="s">
        <v>304</v>
      </c>
      <c r="I90" s="11" t="s">
        <v>352</v>
      </c>
      <c r="J90" s="12">
        <v>103000</v>
      </c>
      <c r="K90" s="13">
        <f>J90-M90</f>
        <v>6700</v>
      </c>
      <c r="L90" s="7" t="s">
        <v>23</v>
      </c>
      <c r="M90" s="14">
        <f>J90-N90</f>
        <v>96300</v>
      </c>
      <c r="N90" s="15">
        <f>2000+200+350+600+550+3000</f>
        <v>6700</v>
      </c>
      <c r="O90" s="39">
        <f>M90+N90</f>
        <v>103000</v>
      </c>
      <c r="P90" s="96"/>
      <c r="Q90" s="3" t="s">
        <v>418</v>
      </c>
      <c r="R90" s="36"/>
      <c r="S90" s="36">
        <f>R90+O90</f>
        <v>103000</v>
      </c>
      <c r="T90" s="36">
        <f>S90/0.7</f>
        <v>147142.85714285716</v>
      </c>
      <c r="U90" s="40">
        <f>T90/0.875</f>
        <v>168163.26530612246</v>
      </c>
      <c r="V90" s="41">
        <f>(U90-T90)/U90</f>
        <v>0.12499999999999993</v>
      </c>
      <c r="W90" s="40">
        <f>(ROUNDUP((U90/100),0))*100</f>
        <v>168200</v>
      </c>
      <c r="X90" s="42">
        <f>(T90-O90)/T90</f>
        <v>0.3000000000000001</v>
      </c>
      <c r="Y90" s="45">
        <v>142888</v>
      </c>
      <c r="Z90" s="46">
        <f>T90-Y90</f>
        <v>4254.8571428571595</v>
      </c>
      <c r="AA90" s="47">
        <f>Z90/Y90</f>
        <v>2.9777568045302332E-2</v>
      </c>
      <c r="AB90" s="60"/>
    </row>
    <row r="91" spans="2:76" ht="14.4" customHeight="1">
      <c r="B91" s="4">
        <v>103</v>
      </c>
      <c r="C91" s="5" t="s">
        <v>89</v>
      </c>
      <c r="D91" s="5" t="str">
        <f>REPLACE(C91,1,3, )</f>
        <v xml:space="preserve"> 467</v>
      </c>
      <c r="E91" s="6" t="s">
        <v>89</v>
      </c>
      <c r="F91" s="7">
        <f>IF(C91=E91,0,1)</f>
        <v>0</v>
      </c>
      <c r="G91" s="11" t="s">
        <v>20</v>
      </c>
      <c r="H91" s="11" t="s">
        <v>304</v>
      </c>
      <c r="I91" s="11" t="s">
        <v>352</v>
      </c>
      <c r="J91" s="12">
        <v>104000</v>
      </c>
      <c r="K91" s="13">
        <f>J91-M91</f>
        <v>6700</v>
      </c>
      <c r="L91" s="7" t="s">
        <v>23</v>
      </c>
      <c r="M91" s="14">
        <f>J91-N91</f>
        <v>97300</v>
      </c>
      <c r="N91" s="15">
        <f>2000+200+350+600+550+3000</f>
        <v>6700</v>
      </c>
      <c r="O91" s="39">
        <f>M91+N91</f>
        <v>104000</v>
      </c>
      <c r="P91" s="96"/>
      <c r="Q91" s="3" t="s">
        <v>418</v>
      </c>
      <c r="R91" s="36"/>
      <c r="S91" s="36">
        <f>R91+O91</f>
        <v>104000</v>
      </c>
      <c r="T91" s="36">
        <f>S91/0.7</f>
        <v>148571.42857142858</v>
      </c>
      <c r="U91" s="40">
        <f>T91/0.875</f>
        <v>169795.91836734695</v>
      </c>
      <c r="V91" s="41">
        <f>(U91-T91)/U91</f>
        <v>0.12500000000000003</v>
      </c>
      <c r="W91" s="40">
        <f>(ROUNDUP((U91/100),0))*100</f>
        <v>169800</v>
      </c>
      <c r="X91" s="42">
        <f>(T91-O91)/T91</f>
        <v>0.30000000000000004</v>
      </c>
      <c r="Y91" s="45">
        <v>145775</v>
      </c>
      <c r="Z91" s="46">
        <f>T91-Y91</f>
        <v>2796.4285714285797</v>
      </c>
      <c r="AA91" s="47">
        <f>Z91/Y91</f>
        <v>1.9183183477472679E-2</v>
      </c>
      <c r="AB91" s="60"/>
    </row>
    <row r="92" spans="2:76" ht="14.4" customHeight="1">
      <c r="B92" s="4">
        <v>107</v>
      </c>
      <c r="C92" s="5" t="s">
        <v>129</v>
      </c>
      <c r="D92" s="5" t="str">
        <f>REPLACE(C92,1,3, )</f>
        <v xml:space="preserve"> 358</v>
      </c>
      <c r="E92" s="6" t="s">
        <v>129</v>
      </c>
      <c r="F92" s="7">
        <f>IF(C92=E92,0,1)</f>
        <v>0</v>
      </c>
      <c r="G92" s="11" t="s">
        <v>298</v>
      </c>
      <c r="H92" s="11" t="s">
        <v>304</v>
      </c>
      <c r="I92" s="11" t="s">
        <v>330</v>
      </c>
      <c r="J92" s="12">
        <v>88000</v>
      </c>
      <c r="K92" s="13">
        <f>J92-M92</f>
        <v>3900</v>
      </c>
      <c r="L92" s="7" t="s">
        <v>23</v>
      </c>
      <c r="M92" s="14">
        <f>J92-N92</f>
        <v>84100</v>
      </c>
      <c r="N92" s="14">
        <f>2000+200+350+600+750</f>
        <v>3900</v>
      </c>
      <c r="O92" s="39">
        <f>M92+N92</f>
        <v>88000</v>
      </c>
      <c r="P92" s="95"/>
      <c r="Q92" s="3" t="s">
        <v>373</v>
      </c>
      <c r="R92" s="36">
        <v>5000</v>
      </c>
      <c r="S92" s="36">
        <f>R92+O92</f>
        <v>93000</v>
      </c>
      <c r="T92" s="36">
        <f>S92/0.7</f>
        <v>132857.14285714287</v>
      </c>
      <c r="U92" s="40">
        <f>T92/0.875</f>
        <v>151836.73469387757</v>
      </c>
      <c r="V92" s="41">
        <f>(U92-T92)/U92</f>
        <v>0.12500000000000006</v>
      </c>
      <c r="W92" s="40">
        <f>(ROUNDUP((U92/100),0))*100</f>
        <v>151900</v>
      </c>
      <c r="X92" s="42">
        <f>(T92-O92)/T92</f>
        <v>0.3376344086021506</v>
      </c>
      <c r="Y92" s="43"/>
      <c r="Z92" s="43"/>
      <c r="AA92" s="43"/>
      <c r="AB92" s="59"/>
    </row>
    <row r="93" spans="2:76" ht="14.4" customHeight="1">
      <c r="B93" s="4">
        <v>109</v>
      </c>
      <c r="C93" s="5" t="s">
        <v>246</v>
      </c>
      <c r="D93" s="5" t="str">
        <f>REPLACE(C93,1,3, )</f>
        <v xml:space="preserve"> 102</v>
      </c>
      <c r="E93" s="6" t="s">
        <v>246</v>
      </c>
      <c r="F93" s="7">
        <f>IF(C93=E93,0,1)</f>
        <v>0</v>
      </c>
      <c r="G93" s="11" t="s">
        <v>298</v>
      </c>
      <c r="H93" s="11" t="s">
        <v>304</v>
      </c>
      <c r="I93" s="11" t="s">
        <v>359</v>
      </c>
      <c r="J93" s="12">
        <f>M93</f>
        <v>81000</v>
      </c>
      <c r="K93" s="13">
        <f>J93-M93</f>
        <v>0</v>
      </c>
      <c r="L93" s="17" t="s">
        <v>22</v>
      </c>
      <c r="M93" s="18">
        <v>81000</v>
      </c>
      <c r="N93" s="15">
        <f>2000+200+350+600+300+800</f>
        <v>4250</v>
      </c>
      <c r="O93" s="39">
        <f>M93+N93</f>
        <v>85250</v>
      </c>
      <c r="P93" s="95"/>
      <c r="Q93" s="3" t="s">
        <v>419</v>
      </c>
      <c r="R93" s="36"/>
      <c r="S93" s="36">
        <f>R93+O93</f>
        <v>85250</v>
      </c>
      <c r="T93" s="36">
        <f>S93/0.7</f>
        <v>121785.71428571429</v>
      </c>
      <c r="U93" s="40">
        <f>T93/0.875</f>
        <v>139183.67346938775</v>
      </c>
      <c r="V93" s="41">
        <f>(U93-T93)/U93</f>
        <v>0.12499999999999994</v>
      </c>
      <c r="W93" s="40">
        <f>(ROUNDUP((U93/100),0))*100</f>
        <v>139200</v>
      </c>
      <c r="X93" s="42">
        <f>(T93-O93)/T93</f>
        <v>0.30000000000000004</v>
      </c>
      <c r="Y93" s="43"/>
      <c r="Z93" s="43"/>
      <c r="AA93" s="43"/>
      <c r="AB93" s="59"/>
    </row>
    <row r="94" spans="2:76" ht="14.4" customHeight="1">
      <c r="B94" s="4">
        <v>110</v>
      </c>
      <c r="C94" s="5" t="s">
        <v>88</v>
      </c>
      <c r="D94" s="5" t="str">
        <f>REPLACE(C94,1,3, )</f>
        <v xml:space="preserve"> 381</v>
      </c>
      <c r="E94" s="6" t="s">
        <v>88</v>
      </c>
      <c r="F94" s="7">
        <f>IF(C94=E94,0,1)</f>
        <v>0</v>
      </c>
      <c r="G94" s="11" t="s">
        <v>20</v>
      </c>
      <c r="H94" s="11" t="s">
        <v>304</v>
      </c>
      <c r="I94" s="11" t="s">
        <v>330</v>
      </c>
      <c r="J94" s="12">
        <v>105000</v>
      </c>
      <c r="K94" s="13">
        <f>J94-M94</f>
        <v>6700</v>
      </c>
      <c r="L94" s="7" t="s">
        <v>23</v>
      </c>
      <c r="M94" s="14">
        <f>J94-N94</f>
        <v>98300</v>
      </c>
      <c r="N94" s="14">
        <f>2000+200+350+600+550+3000</f>
        <v>6700</v>
      </c>
      <c r="O94" s="39">
        <f>M94+N94</f>
        <v>105000</v>
      </c>
      <c r="P94" s="95"/>
      <c r="Q94" s="3" t="s">
        <v>378</v>
      </c>
      <c r="R94" s="36"/>
      <c r="S94" s="36">
        <f>R94+O94</f>
        <v>105000</v>
      </c>
      <c r="T94" s="36">
        <f>S94/0.7</f>
        <v>150000</v>
      </c>
      <c r="U94" s="40">
        <f>T94/0.875</f>
        <v>171428.57142857142</v>
      </c>
      <c r="V94" s="41">
        <f>(U94-T94)/U94</f>
        <v>0.12499999999999996</v>
      </c>
      <c r="W94" s="40">
        <f>(ROUNDUP((U94/100),0))*100</f>
        <v>171500</v>
      </c>
      <c r="X94" s="42">
        <f>(T94-O94)/T94</f>
        <v>0.3</v>
      </c>
      <c r="Y94" s="45">
        <v>148575</v>
      </c>
      <c r="Z94" s="46">
        <f>T94-Y94</f>
        <v>1425</v>
      </c>
      <c r="AA94" s="47">
        <f>Z94/Y94</f>
        <v>9.5911155981827367E-3</v>
      </c>
      <c r="AB94" s="60"/>
    </row>
    <row r="95" spans="2:76" ht="14.4" customHeight="1">
      <c r="B95" s="4">
        <v>115</v>
      </c>
      <c r="C95" s="38" t="s">
        <v>575</v>
      </c>
      <c r="D95" s="5" t="str">
        <f>REPLACE(C95,1,3, )</f>
        <v xml:space="preserve"> 350</v>
      </c>
      <c r="E95" s="6" t="s">
        <v>575</v>
      </c>
      <c r="F95" s="7">
        <f>IF(C95=E95,0,1)</f>
        <v>0</v>
      </c>
      <c r="G95" s="8" t="s">
        <v>20</v>
      </c>
      <c r="H95" s="8" t="s">
        <v>304</v>
      </c>
      <c r="I95" s="8" t="s">
        <v>491</v>
      </c>
      <c r="J95" s="12"/>
      <c r="K95" s="13">
        <f>J95-M95</f>
        <v>0</v>
      </c>
      <c r="L95" s="7"/>
      <c r="M95" s="14">
        <f>J95-N95</f>
        <v>0</v>
      </c>
      <c r="N95" s="14"/>
      <c r="O95" s="39">
        <f>M95+N95</f>
        <v>0</v>
      </c>
      <c r="P95" s="95"/>
      <c r="Q95" s="3"/>
      <c r="R95" s="36"/>
      <c r="S95" s="36">
        <f>R95+O95</f>
        <v>0</v>
      </c>
      <c r="T95" s="36">
        <f>S95/0.7</f>
        <v>0</v>
      </c>
      <c r="U95" s="40">
        <f>T95/0.875</f>
        <v>0</v>
      </c>
      <c r="V95" s="41" t="e">
        <f>(U95-T95)/U95</f>
        <v>#DIV/0!</v>
      </c>
      <c r="W95" s="40">
        <f>(ROUNDUP((U95/100),0))*100</f>
        <v>0</v>
      </c>
      <c r="X95" s="42" t="e">
        <f>(T95-O95)/T95</f>
        <v>#DIV/0!</v>
      </c>
      <c r="Y95" s="45">
        <v>138600</v>
      </c>
      <c r="Z95" s="46">
        <f>T95-Y95</f>
        <v>-138600</v>
      </c>
      <c r="AA95" s="47">
        <f>Z95/Y95</f>
        <v>-1</v>
      </c>
      <c r="AB95" s="60"/>
    </row>
    <row r="96" spans="2:76" ht="14.4" customHeight="1">
      <c r="B96" s="4">
        <v>123</v>
      </c>
      <c r="C96" s="5" t="s">
        <v>248</v>
      </c>
      <c r="D96" s="5" t="str">
        <f>REPLACE(C96,1,3, )</f>
        <v xml:space="preserve"> 168</v>
      </c>
      <c r="E96" s="6" t="s">
        <v>248</v>
      </c>
      <c r="F96" s="7">
        <f>IF(C96=E96,0,1)</f>
        <v>0</v>
      </c>
      <c r="G96" s="11" t="s">
        <v>298</v>
      </c>
      <c r="H96" s="11" t="s">
        <v>304</v>
      </c>
      <c r="I96" s="11" t="s">
        <v>359</v>
      </c>
      <c r="J96" s="12">
        <f>M96</f>
        <v>81000</v>
      </c>
      <c r="K96" s="13">
        <f>J96-M96</f>
        <v>0</v>
      </c>
      <c r="L96" s="17" t="s">
        <v>22</v>
      </c>
      <c r="M96" s="18">
        <v>81000</v>
      </c>
      <c r="N96" s="15">
        <f>2000+200+350+600+300+800</f>
        <v>4250</v>
      </c>
      <c r="O96" s="39">
        <f>M96+N96</f>
        <v>85250</v>
      </c>
      <c r="P96" s="95"/>
      <c r="Q96" s="3" t="s">
        <v>440</v>
      </c>
      <c r="R96" s="36"/>
      <c r="S96" s="36">
        <f>R96+O96</f>
        <v>85250</v>
      </c>
      <c r="T96" s="36">
        <f>S96/0.7</f>
        <v>121785.71428571429</v>
      </c>
      <c r="U96" s="40">
        <f>T96/0.875</f>
        <v>139183.67346938775</v>
      </c>
      <c r="V96" s="41">
        <f>(U96-T96)/U96</f>
        <v>0.12499999999999994</v>
      </c>
      <c r="W96" s="40">
        <f>(ROUNDUP((U96/100),0))*100</f>
        <v>139200</v>
      </c>
      <c r="X96" s="42">
        <f>(T96-O96)/T96</f>
        <v>0.30000000000000004</v>
      </c>
      <c r="Y96" s="43"/>
      <c r="Z96" s="43"/>
      <c r="AA96" s="43"/>
      <c r="AB96" s="59"/>
      <c r="AC96" s="144" t="s">
        <v>1514</v>
      </c>
      <c r="AD96" s="142"/>
      <c r="AE96" s="142"/>
      <c r="AF96" s="143"/>
      <c r="AG96" s="141"/>
      <c r="AH96" s="141"/>
      <c r="AI96" s="142"/>
      <c r="AJ96" s="142"/>
      <c r="AK96" s="142"/>
      <c r="AL96" s="141"/>
      <c r="AM96" s="142"/>
      <c r="AN96" s="142"/>
      <c r="AO96" s="142"/>
      <c r="AP96" s="141"/>
      <c r="AQ96" s="142"/>
      <c r="AR96" s="142"/>
      <c r="AS96" s="142"/>
      <c r="AT96" s="141"/>
      <c r="AU96" s="142"/>
      <c r="AV96" s="142"/>
      <c r="AW96" s="141"/>
      <c r="AX96" s="142"/>
      <c r="AY96" s="142"/>
      <c r="AZ96" s="142"/>
      <c r="BA96" s="141"/>
      <c r="BB96" s="142"/>
      <c r="BC96" s="142"/>
      <c r="BD96" s="142"/>
      <c r="BE96" s="141"/>
      <c r="BF96" s="142"/>
      <c r="BG96" s="142"/>
      <c r="BH96" s="142"/>
      <c r="BI96" s="141"/>
      <c r="BJ96" s="142"/>
      <c r="BK96" s="142"/>
      <c r="BL96" s="142"/>
      <c r="BM96" s="141"/>
      <c r="BN96" s="142"/>
      <c r="BO96" s="142"/>
      <c r="BP96" s="142"/>
      <c r="BQ96" s="141"/>
      <c r="BR96" s="142"/>
      <c r="BS96" s="142"/>
      <c r="BT96" s="142"/>
      <c r="BU96" s="141"/>
      <c r="BV96" s="142"/>
      <c r="BW96" s="142"/>
    </row>
    <row r="97" spans="2:77" ht="14.4" customHeight="1">
      <c r="B97" s="4">
        <v>102</v>
      </c>
      <c r="C97" s="5" t="s">
        <v>296</v>
      </c>
      <c r="D97" s="5" t="str">
        <f>REPLACE(C97,1,3, )</f>
        <v xml:space="preserve"> 983</v>
      </c>
      <c r="E97" s="6" t="s">
        <v>296</v>
      </c>
      <c r="F97" s="7">
        <f>IF(C97=E97,0,1)</f>
        <v>0</v>
      </c>
      <c r="G97" s="11" t="s">
        <v>298</v>
      </c>
      <c r="H97" s="11" t="s">
        <v>1516</v>
      </c>
      <c r="I97" s="11" t="s">
        <v>370</v>
      </c>
      <c r="J97" s="12">
        <f>M97</f>
        <v>71500</v>
      </c>
      <c r="K97" s="13">
        <f>J97-M97</f>
        <v>0</v>
      </c>
      <c r="L97" s="17" t="s">
        <v>22</v>
      </c>
      <c r="M97" s="18">
        <v>71500</v>
      </c>
      <c r="N97" s="15">
        <f>2000+200+350+600+300+3000</f>
        <v>6450</v>
      </c>
      <c r="O97" s="39">
        <f>M97+N97</f>
        <v>77950</v>
      </c>
      <c r="P97" s="95"/>
      <c r="Q97" s="3" t="s">
        <v>466</v>
      </c>
      <c r="R97" s="36"/>
      <c r="S97" s="36">
        <f>R97+O97</f>
        <v>77950</v>
      </c>
      <c r="T97" s="36">
        <f>S97/0.7</f>
        <v>111357.14285714287</v>
      </c>
      <c r="U97" s="40">
        <f>T97/0.875</f>
        <v>127265.30612244899</v>
      </c>
      <c r="V97" s="41">
        <f>(U97-T97)/U97</f>
        <v>0.125</v>
      </c>
      <c r="W97" s="40">
        <f>(ROUNDUP((U97/100),0))*100</f>
        <v>127300</v>
      </c>
      <c r="X97" s="42">
        <f>(T97-O97)/T97</f>
        <v>0.3000000000000001</v>
      </c>
      <c r="Y97" s="43"/>
      <c r="Z97" s="43"/>
      <c r="AA97" s="43"/>
      <c r="AB97" s="189" t="s">
        <v>1557</v>
      </c>
      <c r="AC97" s="145">
        <v>130928.57142857143</v>
      </c>
      <c r="AD97" s="146">
        <v>103000</v>
      </c>
      <c r="AE97" s="147">
        <v>90714</v>
      </c>
      <c r="AF97" s="148">
        <v>0.27115117891816926</v>
      </c>
      <c r="AG97" s="149">
        <v>76500</v>
      </c>
      <c r="AH97" s="150">
        <v>76807</v>
      </c>
      <c r="AI97" s="146">
        <v>77265.71428571429</v>
      </c>
      <c r="AJ97" s="146">
        <v>90213</v>
      </c>
      <c r="AK97" s="151"/>
      <c r="AL97" s="149"/>
      <c r="AM97" s="146">
        <v>100012.85714285714</v>
      </c>
      <c r="AN97" s="146">
        <v>107100</v>
      </c>
      <c r="AO97" s="151"/>
      <c r="AP97" s="152"/>
      <c r="AQ97" s="151"/>
      <c r="AR97" s="151"/>
      <c r="AS97" s="151"/>
      <c r="AT97" s="149"/>
      <c r="AU97" s="146">
        <v>105300</v>
      </c>
      <c r="AV97" s="146">
        <v>110475</v>
      </c>
      <c r="AW97" s="149"/>
      <c r="AX97" s="151"/>
      <c r="AY97" s="151"/>
      <c r="AZ97" s="151"/>
      <c r="BA97" s="149"/>
      <c r="BB97" s="151"/>
      <c r="BC97" s="151"/>
      <c r="BD97" s="151"/>
      <c r="BE97" s="149"/>
      <c r="BF97" s="151"/>
      <c r="BG97" s="151"/>
      <c r="BH97" s="151"/>
      <c r="BI97" s="149"/>
      <c r="BJ97" s="151"/>
      <c r="BK97" s="151"/>
      <c r="BL97" s="151"/>
      <c r="BM97" s="149"/>
      <c r="BN97" s="151"/>
      <c r="BO97" s="151"/>
      <c r="BP97" s="151"/>
      <c r="BQ97" s="149"/>
      <c r="BR97" s="151"/>
      <c r="BS97" s="151"/>
      <c r="BT97" s="151"/>
      <c r="BU97" s="149"/>
      <c r="BV97" s="151"/>
      <c r="BW97" s="151"/>
      <c r="BX97" s="153"/>
    </row>
    <row r="98" spans="2:77" ht="14.4" customHeight="1">
      <c r="B98" s="4">
        <v>97</v>
      </c>
      <c r="C98" s="5" t="s">
        <v>297</v>
      </c>
      <c r="D98" s="5" t="str">
        <f>REPLACE(C98,1,3, )</f>
        <v xml:space="preserve"> 793</v>
      </c>
      <c r="E98" s="6" t="s">
        <v>297</v>
      </c>
      <c r="F98" s="7">
        <f>IF(C98=E98,0,1)</f>
        <v>0</v>
      </c>
      <c r="G98" s="11" t="s">
        <v>298</v>
      </c>
      <c r="H98" s="11" t="s">
        <v>30</v>
      </c>
      <c r="I98" s="11" t="s">
        <v>370</v>
      </c>
      <c r="J98" s="12">
        <f>M98</f>
        <v>66000</v>
      </c>
      <c r="K98" s="13">
        <f>J98-M98</f>
        <v>0</v>
      </c>
      <c r="L98" s="17" t="s">
        <v>22</v>
      </c>
      <c r="M98" s="18">
        <v>66000</v>
      </c>
      <c r="N98" s="15">
        <f>2000+200+350+300+800+600</f>
        <v>4250</v>
      </c>
      <c r="O98" s="39">
        <f>M98+N98</f>
        <v>70250</v>
      </c>
      <c r="P98" s="95"/>
      <c r="Q98" s="3" t="s">
        <v>465</v>
      </c>
      <c r="R98" s="36"/>
      <c r="S98" s="36">
        <f>R98+O98</f>
        <v>70250</v>
      </c>
      <c r="T98" s="36">
        <f>S98/0.7</f>
        <v>100357.14285714287</v>
      </c>
      <c r="U98" s="40">
        <f>T98/0.875</f>
        <v>114693.87755102043</v>
      </c>
      <c r="V98" s="41">
        <f>(U98-T98)/U98</f>
        <v>0.12500000000000006</v>
      </c>
      <c r="W98" s="40">
        <f>(ROUNDUP((U98/100),0))*100</f>
        <v>114700</v>
      </c>
      <c r="X98" s="42">
        <f>(T98-O98)/T98</f>
        <v>0.3000000000000001</v>
      </c>
      <c r="Y98" s="43"/>
      <c r="Z98" s="43"/>
      <c r="AA98" s="44"/>
      <c r="AB98" s="60"/>
    </row>
    <row r="99" spans="2:77" ht="14.4" customHeight="1">
      <c r="B99" s="4">
        <v>98</v>
      </c>
      <c r="C99" s="38" t="s">
        <v>570</v>
      </c>
      <c r="D99" s="5" t="str">
        <f>REPLACE(C99,1,3, )</f>
        <v xml:space="preserve"> 444</v>
      </c>
      <c r="E99" s="6" t="s">
        <v>570</v>
      </c>
      <c r="F99" s="7">
        <f>IF(C99=E99,0,1)</f>
        <v>0</v>
      </c>
      <c r="G99" s="8" t="s">
        <v>298</v>
      </c>
      <c r="H99" s="8" t="s">
        <v>30</v>
      </c>
      <c r="I99" s="8" t="s">
        <v>510</v>
      </c>
      <c r="J99" s="12">
        <v>72000</v>
      </c>
      <c r="K99" s="13">
        <f>J99-M99</f>
        <v>3950</v>
      </c>
      <c r="L99" s="7" t="s">
        <v>23</v>
      </c>
      <c r="M99" s="14">
        <f>J99-N99</f>
        <v>68050</v>
      </c>
      <c r="N99" s="15">
        <f>2000+200+350+600+800</f>
        <v>3950</v>
      </c>
      <c r="O99" s="39">
        <f>M99+N99</f>
        <v>72000</v>
      </c>
      <c r="P99" s="95"/>
      <c r="Q99" s="77" t="s">
        <v>1436</v>
      </c>
      <c r="R99" s="36"/>
      <c r="S99" s="36">
        <f>R99+O99</f>
        <v>72000</v>
      </c>
      <c r="T99" s="36">
        <f>S99/0.7</f>
        <v>102857.14285714287</v>
      </c>
      <c r="U99" s="40">
        <f>T99/0.875</f>
        <v>117551.02040816328</v>
      </c>
      <c r="V99" s="41">
        <f>(U99-T99)/U99</f>
        <v>0.12500000000000003</v>
      </c>
      <c r="W99" s="40">
        <f>(ROUNDUP((U99/100),0))*100</f>
        <v>117600</v>
      </c>
      <c r="X99" s="42">
        <f>(T99-O99)/T99</f>
        <v>0.3000000000000001</v>
      </c>
      <c r="Y99" s="43"/>
      <c r="Z99" s="43"/>
      <c r="AA99" s="44"/>
      <c r="AB99" s="60"/>
    </row>
    <row r="100" spans="2:77" ht="14.25" customHeight="1">
      <c r="B100" s="4">
        <v>112</v>
      </c>
      <c r="C100" s="38" t="s">
        <v>573</v>
      </c>
      <c r="D100" s="5" t="str">
        <f>REPLACE(C100,1,3, )</f>
        <v xml:space="preserve"> 270</v>
      </c>
      <c r="E100" s="6" t="s">
        <v>573</v>
      </c>
      <c r="F100" s="7">
        <f>IF(C100=E100,0,1)</f>
        <v>0</v>
      </c>
      <c r="G100" s="8" t="s">
        <v>298</v>
      </c>
      <c r="H100" s="8" t="s">
        <v>30</v>
      </c>
      <c r="I100" s="8" t="s">
        <v>574</v>
      </c>
      <c r="J100" s="12">
        <v>105000</v>
      </c>
      <c r="K100" s="13">
        <f>J100-M100</f>
        <v>6450</v>
      </c>
      <c r="L100" s="7" t="s">
        <v>23</v>
      </c>
      <c r="M100" s="14">
        <f>J100-N100</f>
        <v>98550</v>
      </c>
      <c r="N100" s="15">
        <f>2000+200+350+600+300+3000</f>
        <v>6450</v>
      </c>
      <c r="O100" s="39">
        <f>M100+N100</f>
        <v>105000</v>
      </c>
      <c r="P100" s="96"/>
      <c r="Q100" s="77" t="s">
        <v>1541</v>
      </c>
      <c r="R100" s="36"/>
      <c r="S100" s="36">
        <f>R100+O100</f>
        <v>105000</v>
      </c>
      <c r="T100" s="36">
        <f>S100/0.7</f>
        <v>150000</v>
      </c>
      <c r="U100" s="40">
        <f>T100/0.875</f>
        <v>171428.57142857142</v>
      </c>
      <c r="V100" s="41">
        <f>(U100-T100)/U100</f>
        <v>0.12499999999999996</v>
      </c>
      <c r="W100" s="40">
        <f>(ROUNDUP((U100/100),0))*100</f>
        <v>171500</v>
      </c>
      <c r="X100" s="42">
        <f>(T100-O100)/T100</f>
        <v>0.3</v>
      </c>
      <c r="Y100" s="43"/>
      <c r="Z100" s="43"/>
      <c r="AA100" s="43"/>
      <c r="AB100" s="59"/>
    </row>
    <row r="101" spans="2:77" ht="14.4" customHeight="1">
      <c r="B101" s="4">
        <v>114</v>
      </c>
      <c r="C101" s="5" t="s">
        <v>176</v>
      </c>
      <c r="D101" s="5" t="str">
        <f>REPLACE(C101,1,3, )</f>
        <v xml:space="preserve"> 794</v>
      </c>
      <c r="E101" s="6" t="s">
        <v>176</v>
      </c>
      <c r="F101" s="7">
        <f>IF(C101=E101,0,1)</f>
        <v>0</v>
      </c>
      <c r="G101" s="11" t="s">
        <v>298</v>
      </c>
      <c r="H101" s="11" t="s">
        <v>30</v>
      </c>
      <c r="I101" s="11" t="s">
        <v>341</v>
      </c>
      <c r="J101" s="12">
        <v>128000</v>
      </c>
      <c r="K101" s="13">
        <f>J101-M101</f>
        <v>6150</v>
      </c>
      <c r="L101" s="7" t="s">
        <v>23</v>
      </c>
      <c r="M101" s="14">
        <f>J101-N101</f>
        <v>121850</v>
      </c>
      <c r="N101" s="14">
        <f>2000+200+350+600+3000</f>
        <v>6150</v>
      </c>
      <c r="O101" s="39">
        <f>M101+N101</f>
        <v>128000</v>
      </c>
      <c r="P101" s="95"/>
      <c r="Q101" s="3" t="s">
        <v>399</v>
      </c>
      <c r="R101" s="36"/>
      <c r="S101" s="36">
        <f>R101+O101</f>
        <v>128000</v>
      </c>
      <c r="T101" s="36">
        <f>S101/0.7</f>
        <v>182857.14285714287</v>
      </c>
      <c r="U101" s="40">
        <f>T101/0.875</f>
        <v>208979.5918367347</v>
      </c>
      <c r="V101" s="41">
        <f>(U101-T101)/U101</f>
        <v>0.12499999999999999</v>
      </c>
      <c r="W101" s="40">
        <f>(ROUNDUP((U101/100),0))*100</f>
        <v>209000</v>
      </c>
      <c r="X101" s="42">
        <f>(T101-O101)/T101</f>
        <v>0.30000000000000004</v>
      </c>
      <c r="Y101" s="43"/>
      <c r="Z101" s="43"/>
      <c r="AA101" s="44"/>
      <c r="AB101" s="60"/>
    </row>
    <row r="102" spans="2:77" ht="14.4" customHeight="1">
      <c r="B102" s="4">
        <v>125</v>
      </c>
      <c r="C102" s="38" t="s">
        <v>581</v>
      </c>
      <c r="D102" s="5" t="str">
        <f>REPLACE(C102,1,3, )</f>
        <v xml:space="preserve"> 939</v>
      </c>
      <c r="E102" s="6" t="s">
        <v>581</v>
      </c>
      <c r="F102" s="7">
        <f>IF(C102=E102,0,1)</f>
        <v>0</v>
      </c>
      <c r="G102" s="8" t="s">
        <v>298</v>
      </c>
      <c r="H102" s="8" t="s">
        <v>30</v>
      </c>
      <c r="I102" s="8" t="s">
        <v>582</v>
      </c>
      <c r="J102" s="12"/>
      <c r="K102" s="13">
        <f>J102-M102</f>
        <v>0</v>
      </c>
      <c r="L102" s="7"/>
      <c r="M102" s="14">
        <f>J102-N102</f>
        <v>0</v>
      </c>
      <c r="N102" s="15"/>
      <c r="O102" s="39">
        <f>M102+N102</f>
        <v>0</v>
      </c>
      <c r="P102" s="95"/>
      <c r="Q102" s="3"/>
      <c r="R102" s="36"/>
      <c r="S102" s="36">
        <f>R102+O102</f>
        <v>0</v>
      </c>
      <c r="T102" s="36">
        <f>S102/0.7</f>
        <v>0</v>
      </c>
      <c r="U102" s="40">
        <f>T102/0.875</f>
        <v>0</v>
      </c>
      <c r="V102" s="41" t="e">
        <f>(U102-T102)/U102</f>
        <v>#DIV/0!</v>
      </c>
      <c r="W102" s="40">
        <f>(ROUNDUP((U102/100),0))*100</f>
        <v>0</v>
      </c>
      <c r="X102" s="42" t="e">
        <f>(T102-O102)/T102</f>
        <v>#DIV/0!</v>
      </c>
      <c r="Y102" s="43"/>
      <c r="Z102" s="43"/>
      <c r="AA102" s="44"/>
      <c r="AB102" s="189" t="s">
        <v>1558</v>
      </c>
      <c r="AC102" s="165">
        <v>116309.5238095238</v>
      </c>
      <c r="AD102" s="146">
        <v>109119.04761904763</v>
      </c>
      <c r="AE102" s="147">
        <v>102078</v>
      </c>
      <c r="AF102" s="148">
        <v>6.5895701505563842E-2</v>
      </c>
      <c r="AG102" s="149">
        <v>108000</v>
      </c>
      <c r="AH102" s="150">
        <v>101451</v>
      </c>
      <c r="AI102" s="146">
        <v>100215.71428571429</v>
      </c>
      <c r="AJ102" s="146">
        <v>94811</v>
      </c>
      <c r="AK102" s="151"/>
      <c r="AL102" s="149"/>
      <c r="AM102" s="146">
        <v>88068.571428571435</v>
      </c>
      <c r="AN102" s="146">
        <v>94286</v>
      </c>
      <c r="AO102" s="151">
        <v>127358</v>
      </c>
      <c r="AP102" s="156">
        <v>118050</v>
      </c>
      <c r="AQ102" s="146">
        <v>114550</v>
      </c>
      <c r="AR102" s="146">
        <v>112821</v>
      </c>
      <c r="AS102" s="151">
        <v>121975</v>
      </c>
      <c r="AT102" s="156">
        <v>117562</v>
      </c>
      <c r="AU102" s="146">
        <v>116100.00000000001</v>
      </c>
      <c r="AV102" s="146">
        <v>116100</v>
      </c>
      <c r="AW102" s="149"/>
      <c r="AX102" s="151"/>
      <c r="AY102" s="151"/>
      <c r="AZ102" s="151">
        <v>110160</v>
      </c>
      <c r="BA102" s="155">
        <v>107460</v>
      </c>
      <c r="BB102" s="146">
        <v>109715</v>
      </c>
      <c r="BC102" s="146">
        <v>105390</v>
      </c>
      <c r="BD102" s="151"/>
      <c r="BE102" s="149"/>
      <c r="BF102" s="151"/>
      <c r="BG102" s="151"/>
      <c r="BH102" s="151">
        <v>131667</v>
      </c>
      <c r="BI102" s="156">
        <v>125200</v>
      </c>
      <c r="BJ102" s="146">
        <v>122000.00000000001</v>
      </c>
      <c r="BK102" s="146">
        <v>114900</v>
      </c>
      <c r="BL102" s="151"/>
      <c r="BM102" s="158"/>
      <c r="BN102" s="146">
        <v>115235.71428571429</v>
      </c>
      <c r="BO102" s="146">
        <v>93720</v>
      </c>
      <c r="BP102" s="151"/>
      <c r="BQ102" s="149"/>
      <c r="BR102" s="151"/>
      <c r="BS102" s="151"/>
      <c r="BT102" s="151"/>
      <c r="BU102" s="149"/>
      <c r="BV102" s="151"/>
      <c r="BW102" s="151"/>
      <c r="BX102" s="153"/>
      <c r="BY102" s="78"/>
    </row>
    <row r="103" spans="2:77" ht="14.4" customHeight="1">
      <c r="B103" s="4">
        <v>127</v>
      </c>
      <c r="C103" s="38" t="s">
        <v>583</v>
      </c>
      <c r="D103" s="5" t="str">
        <f>REPLACE(C103,1,3, )</f>
        <v xml:space="preserve"> 238</v>
      </c>
      <c r="E103" s="6" t="s">
        <v>583</v>
      </c>
      <c r="F103" s="7">
        <f>IF(C103=E103,0,1)</f>
        <v>0</v>
      </c>
      <c r="G103" s="8" t="s">
        <v>20</v>
      </c>
      <c r="H103" s="8" t="s">
        <v>32</v>
      </c>
      <c r="I103" s="8" t="s">
        <v>584</v>
      </c>
      <c r="J103" s="90">
        <v>97500</v>
      </c>
      <c r="K103" s="90">
        <f>J103-M103</f>
        <v>3950</v>
      </c>
      <c r="L103" s="103" t="s">
        <v>1429</v>
      </c>
      <c r="M103" s="87">
        <f>J103-N103</f>
        <v>93550</v>
      </c>
      <c r="N103" s="87">
        <f>2000+650+800+200+300</f>
        <v>3950</v>
      </c>
      <c r="O103" s="101">
        <f>N103+M103</f>
        <v>97500</v>
      </c>
      <c r="P103" s="95"/>
      <c r="Q103" s="88" t="s">
        <v>1415</v>
      </c>
      <c r="R103" s="36"/>
      <c r="S103" s="36">
        <f>R103+O103</f>
        <v>97500</v>
      </c>
      <c r="T103" s="36">
        <f>S103/0.7</f>
        <v>139285.71428571429</v>
      </c>
      <c r="U103" s="40">
        <f>T103/0.875</f>
        <v>159183.67346938775</v>
      </c>
      <c r="V103" s="41">
        <f>(U103-T103)/U103</f>
        <v>0.12499999999999996</v>
      </c>
      <c r="W103" s="40">
        <f>(ROUNDUP((U103/100),0))*100</f>
        <v>159200</v>
      </c>
      <c r="X103" s="42">
        <f>(T103-O103)/T103</f>
        <v>0.30000000000000004</v>
      </c>
      <c r="Y103" s="45">
        <v>143588</v>
      </c>
      <c r="Z103" s="46">
        <f>T103-Y103</f>
        <v>-4302.2857142857101</v>
      </c>
      <c r="AA103" s="47">
        <f>Z103/Y103</f>
        <v>-2.9962710771691995E-2</v>
      </c>
      <c r="AB103" s="60"/>
    </row>
    <row r="104" spans="2:77" ht="14.4" customHeight="1">
      <c r="B104" s="4">
        <v>128</v>
      </c>
      <c r="C104" s="5" t="s">
        <v>1375</v>
      </c>
      <c r="D104" s="5" t="str">
        <f>REPLACE(C104,1,3, )</f>
        <v xml:space="preserve"> 254</v>
      </c>
      <c r="E104" s="6" t="s">
        <v>1375</v>
      </c>
      <c r="F104" s="7">
        <f>IF(C104=E104,0,1)</f>
        <v>0</v>
      </c>
      <c r="G104" s="11" t="s">
        <v>298</v>
      </c>
      <c r="H104" s="11" t="s">
        <v>32</v>
      </c>
      <c r="I104" s="11" t="s">
        <v>366</v>
      </c>
      <c r="J104" s="12">
        <f>M104</f>
        <v>88000</v>
      </c>
      <c r="K104" s="13">
        <f>J104-M104</f>
        <v>0</v>
      </c>
      <c r="L104" s="17" t="s">
        <v>22</v>
      </c>
      <c r="M104" s="18">
        <v>88000</v>
      </c>
      <c r="N104" s="15">
        <f>2000+200+350+600+3000</f>
        <v>6150</v>
      </c>
      <c r="O104" s="39">
        <f>M104+N104</f>
        <v>94150</v>
      </c>
      <c r="P104" s="96"/>
      <c r="Q104" s="3" t="s">
        <v>458</v>
      </c>
      <c r="R104" s="36"/>
      <c r="S104" s="36">
        <f>R104+O104</f>
        <v>94150</v>
      </c>
      <c r="T104" s="36">
        <f>S104/0.7</f>
        <v>134500</v>
      </c>
      <c r="U104" s="40">
        <f>T104/0.875</f>
        <v>153714.28571428571</v>
      </c>
      <c r="V104" s="41">
        <f>(U104-T104)/U104</f>
        <v>0.12499999999999997</v>
      </c>
      <c r="W104" s="40">
        <f>(ROUNDUP((U104/100),0))*100</f>
        <v>153800</v>
      </c>
      <c r="X104" s="42">
        <f>(T104-O104)/T104</f>
        <v>0.3</v>
      </c>
      <c r="Y104" s="43"/>
      <c r="Z104" s="43"/>
      <c r="AA104" s="43"/>
      <c r="AB104" s="59"/>
    </row>
    <row r="105" spans="2:77" ht="14.4" customHeight="1">
      <c r="B105" s="4">
        <v>129</v>
      </c>
      <c r="C105" s="5" t="s">
        <v>178</v>
      </c>
      <c r="D105" s="5" t="str">
        <f>REPLACE(C105,1,3, )</f>
        <v xml:space="preserve"> 305</v>
      </c>
      <c r="E105" s="6" t="s">
        <v>178</v>
      </c>
      <c r="F105" s="7">
        <f>IF(C105=E105,0,1)</f>
        <v>0</v>
      </c>
      <c r="G105" s="11" t="s">
        <v>298</v>
      </c>
      <c r="H105" s="11" t="s">
        <v>32</v>
      </c>
      <c r="I105" s="11" t="s">
        <v>341</v>
      </c>
      <c r="J105" s="12">
        <v>98000</v>
      </c>
      <c r="K105" s="13">
        <f>J105-M105</f>
        <v>7150</v>
      </c>
      <c r="L105" s="7" t="s">
        <v>23</v>
      </c>
      <c r="M105" s="14">
        <f>J105-N105</f>
        <v>90850</v>
      </c>
      <c r="N105" s="14">
        <f>2000+200+350+600+1000+3000</f>
        <v>7150</v>
      </c>
      <c r="O105" s="39">
        <f>M105+N105</f>
        <v>98000</v>
      </c>
      <c r="P105" s="95"/>
      <c r="Q105" s="3" t="s">
        <v>401</v>
      </c>
      <c r="R105" s="36">
        <v>7000</v>
      </c>
      <c r="S105" s="36">
        <f>R105+O105</f>
        <v>105000</v>
      </c>
      <c r="T105" s="36">
        <f>S105/0.7</f>
        <v>150000</v>
      </c>
      <c r="U105" s="40">
        <f>T105/0.875</f>
        <v>171428.57142857142</v>
      </c>
      <c r="V105" s="41">
        <f>(U105-T105)/U105</f>
        <v>0.12499999999999996</v>
      </c>
      <c r="W105" s="40">
        <f>(ROUNDUP((U105/100),0))*100</f>
        <v>171500</v>
      </c>
      <c r="X105" s="42">
        <f>(T105-O105)/T105</f>
        <v>0.34666666666666668</v>
      </c>
      <c r="Y105" s="43"/>
      <c r="Z105" s="43"/>
      <c r="AA105" s="43"/>
      <c r="AB105" s="59"/>
    </row>
    <row r="106" spans="2:77" ht="14.4" customHeight="1">
      <c r="B106" s="4">
        <v>130</v>
      </c>
      <c r="C106" s="5" t="s">
        <v>132</v>
      </c>
      <c r="D106" s="5" t="str">
        <f>REPLACE(C106,1,3, )</f>
        <v xml:space="preserve"> 718</v>
      </c>
      <c r="E106" s="6" t="s">
        <v>132</v>
      </c>
      <c r="F106" s="7">
        <f>IF(C106=E106,0,1)</f>
        <v>0</v>
      </c>
      <c r="G106" s="11" t="s">
        <v>298</v>
      </c>
      <c r="H106" s="11" t="s">
        <v>32</v>
      </c>
      <c r="I106" s="11" t="s">
        <v>330</v>
      </c>
      <c r="J106" s="12">
        <v>104000</v>
      </c>
      <c r="K106" s="13">
        <f>J106-M106</f>
        <v>3900</v>
      </c>
      <c r="L106" s="7" t="s">
        <v>23</v>
      </c>
      <c r="M106" s="14">
        <f>J106-N106</f>
        <v>100100</v>
      </c>
      <c r="N106" s="14">
        <f>2000+200+350+600+750</f>
        <v>3900</v>
      </c>
      <c r="O106" s="39">
        <f>M106+N106</f>
        <v>104000</v>
      </c>
      <c r="P106" s="96"/>
      <c r="Q106" s="3" t="s">
        <v>375</v>
      </c>
      <c r="R106" s="36"/>
      <c r="S106" s="36">
        <f>R106+O106</f>
        <v>104000</v>
      </c>
      <c r="T106" s="36">
        <f>S106/0.7</f>
        <v>148571.42857142858</v>
      </c>
      <c r="U106" s="40">
        <f>T106/0.875</f>
        <v>169795.91836734695</v>
      </c>
      <c r="V106" s="41">
        <f>(U106-T106)/U106</f>
        <v>0.12500000000000003</v>
      </c>
      <c r="W106" s="40">
        <f>(ROUNDUP((U106/100),0))*100</f>
        <v>169800</v>
      </c>
      <c r="X106" s="42">
        <f>(T106-O106)/T106</f>
        <v>0.30000000000000004</v>
      </c>
      <c r="Y106" s="43"/>
      <c r="Z106" s="43"/>
      <c r="AA106" s="44"/>
      <c r="AB106" s="60"/>
    </row>
    <row r="107" spans="2:77" ht="14.4" customHeight="1">
      <c r="B107" s="4">
        <v>131</v>
      </c>
      <c r="C107" s="5" t="s">
        <v>179</v>
      </c>
      <c r="D107" s="5" t="str">
        <f>REPLACE(C107,1,3, )</f>
        <v xml:space="preserve"> 928</v>
      </c>
      <c r="E107" s="6" t="s">
        <v>179</v>
      </c>
      <c r="F107" s="7">
        <f>IF(C107=E107,0,1)</f>
        <v>0</v>
      </c>
      <c r="G107" s="11" t="s">
        <v>298</v>
      </c>
      <c r="H107" s="11" t="s">
        <v>32</v>
      </c>
      <c r="I107" s="11" t="s">
        <v>341</v>
      </c>
      <c r="J107" s="12">
        <v>98000</v>
      </c>
      <c r="K107" s="13">
        <f>J107-M107</f>
        <v>7150</v>
      </c>
      <c r="L107" s="7" t="s">
        <v>23</v>
      </c>
      <c r="M107" s="14">
        <f>J107-N107</f>
        <v>90850</v>
      </c>
      <c r="N107" s="14">
        <f>2000+200+350+600+1000+3000</f>
        <v>7150</v>
      </c>
      <c r="O107" s="39">
        <f>M107+N107</f>
        <v>98000</v>
      </c>
      <c r="P107" s="95"/>
      <c r="Q107" s="3" t="s">
        <v>401</v>
      </c>
      <c r="R107" s="36">
        <v>7000</v>
      </c>
      <c r="S107" s="36">
        <f>R107+O107</f>
        <v>105000</v>
      </c>
      <c r="T107" s="36">
        <f>S107/0.7</f>
        <v>150000</v>
      </c>
      <c r="U107" s="40">
        <f>T107/0.875</f>
        <v>171428.57142857142</v>
      </c>
      <c r="V107" s="41">
        <f>(U107-T107)/U107</f>
        <v>0.12499999999999996</v>
      </c>
      <c r="W107" s="40">
        <f>(ROUNDUP((U107/100),0))*100</f>
        <v>171500</v>
      </c>
      <c r="X107" s="42">
        <f>(T107-O107)/T107</f>
        <v>0.34666666666666668</v>
      </c>
      <c r="Y107" s="43"/>
      <c r="Z107" s="43"/>
      <c r="AA107" s="43"/>
      <c r="AB107" s="59"/>
    </row>
    <row r="108" spans="2:77" ht="14.4" customHeight="1">
      <c r="B108" s="4">
        <v>132</v>
      </c>
      <c r="C108" s="38" t="s">
        <v>585</v>
      </c>
      <c r="D108" s="5" t="str">
        <f>REPLACE(C108,1,3, )</f>
        <v xml:space="preserve"> 130</v>
      </c>
      <c r="E108" s="6" t="s">
        <v>585</v>
      </c>
      <c r="F108" s="7">
        <f>IF(C108=E108,0,1)</f>
        <v>0</v>
      </c>
      <c r="G108" s="8" t="s">
        <v>20</v>
      </c>
      <c r="H108" s="8" t="s">
        <v>32</v>
      </c>
      <c r="I108" s="8" t="s">
        <v>491</v>
      </c>
      <c r="J108" s="12"/>
      <c r="K108" s="13">
        <f>J108-M108</f>
        <v>0</v>
      </c>
      <c r="L108" s="7"/>
      <c r="M108" s="14">
        <f>J108-N108</f>
        <v>0</v>
      </c>
      <c r="N108" s="14"/>
      <c r="O108" s="39">
        <f>M108+N108</f>
        <v>0</v>
      </c>
      <c r="P108" s="95"/>
      <c r="Q108" s="3"/>
      <c r="R108" s="36"/>
      <c r="S108" s="36">
        <f>R108+O108</f>
        <v>0</v>
      </c>
      <c r="T108" s="36">
        <f>S108/0.7</f>
        <v>0</v>
      </c>
      <c r="U108" s="40">
        <f>T108/0.875</f>
        <v>0</v>
      </c>
      <c r="V108" s="41" t="e">
        <f>(U108-T108)/U108</f>
        <v>#DIV/0!</v>
      </c>
      <c r="W108" s="40">
        <f>(ROUNDUP((U108/100),0))*100</f>
        <v>0</v>
      </c>
      <c r="X108" s="42" t="e">
        <f>(T108-O108)/T108</f>
        <v>#DIV/0!</v>
      </c>
      <c r="Y108" s="45">
        <v>131513</v>
      </c>
      <c r="Z108" s="46">
        <f>T108-Y108</f>
        <v>-131513</v>
      </c>
      <c r="AA108" s="47">
        <f>Z108/Y108</f>
        <v>-1</v>
      </c>
      <c r="AB108" s="60"/>
    </row>
    <row r="109" spans="2:77" ht="14.4" customHeight="1">
      <c r="B109" s="4">
        <v>133</v>
      </c>
      <c r="C109" s="5" t="s">
        <v>195</v>
      </c>
      <c r="D109" s="5" t="str">
        <f>REPLACE(C109,1,3, )</f>
        <v xml:space="preserve"> 174</v>
      </c>
      <c r="E109" s="6" t="s">
        <v>195</v>
      </c>
      <c r="F109" s="7">
        <f>IF(C109=E109,0,1)</f>
        <v>0</v>
      </c>
      <c r="G109" s="11" t="s">
        <v>298</v>
      </c>
      <c r="H109" s="11" t="s">
        <v>32</v>
      </c>
      <c r="I109" s="11" t="s">
        <v>347</v>
      </c>
      <c r="J109" s="12">
        <v>104000</v>
      </c>
      <c r="K109" s="13">
        <f>J109-M109</f>
        <v>3900</v>
      </c>
      <c r="L109" s="7" t="s">
        <v>23</v>
      </c>
      <c r="M109" s="14">
        <f>J109-N109</f>
        <v>100100</v>
      </c>
      <c r="N109" s="15">
        <f>2000+200+350+600+750</f>
        <v>3900</v>
      </c>
      <c r="O109" s="39">
        <f>M109+N109</f>
        <v>104000</v>
      </c>
      <c r="P109" s="95"/>
      <c r="Q109" s="3" t="s">
        <v>398</v>
      </c>
      <c r="R109" s="36"/>
      <c r="S109" s="36">
        <f>R109+O109</f>
        <v>104000</v>
      </c>
      <c r="T109" s="36">
        <f>S109/0.7</f>
        <v>148571.42857142858</v>
      </c>
      <c r="U109" s="40">
        <f>T109/0.875</f>
        <v>169795.91836734695</v>
      </c>
      <c r="V109" s="41">
        <f>(U109-T109)/U109</f>
        <v>0.12500000000000003</v>
      </c>
      <c r="W109" s="40">
        <f>(ROUNDUP((U109/100),0))*100</f>
        <v>169800</v>
      </c>
      <c r="X109" s="42">
        <f>(T109-O109)/T109</f>
        <v>0.30000000000000004</v>
      </c>
      <c r="Y109" s="43"/>
      <c r="Z109" s="43"/>
      <c r="AA109" s="44"/>
      <c r="AB109" s="60"/>
      <c r="BY109" s="78"/>
    </row>
    <row r="110" spans="2:77" ht="14.4" customHeight="1">
      <c r="B110" s="4">
        <v>135</v>
      </c>
      <c r="C110" s="5" t="s">
        <v>276</v>
      </c>
      <c r="D110" s="5" t="str">
        <f>REPLACE(C110,1,3, )</f>
        <v xml:space="preserve"> 989</v>
      </c>
      <c r="E110" s="6" t="s">
        <v>276</v>
      </c>
      <c r="F110" s="7">
        <f>IF(C110=E110,0,1)</f>
        <v>0</v>
      </c>
      <c r="G110" s="11" t="s">
        <v>298</v>
      </c>
      <c r="H110" s="11" t="s">
        <v>32</v>
      </c>
      <c r="I110" s="11" t="s">
        <v>366</v>
      </c>
      <c r="J110" s="12">
        <f>M110</f>
        <v>82500</v>
      </c>
      <c r="K110" s="13">
        <f>J110-M110</f>
        <v>0</v>
      </c>
      <c r="L110" s="17" t="s">
        <v>22</v>
      </c>
      <c r="M110" s="18">
        <v>82500</v>
      </c>
      <c r="N110" s="15">
        <f>2000+200+350+600+3000</f>
        <v>6150</v>
      </c>
      <c r="O110" s="39">
        <f>M110+N110</f>
        <v>88650</v>
      </c>
      <c r="P110" s="96"/>
      <c r="Q110" s="3" t="s">
        <v>458</v>
      </c>
      <c r="R110" s="36"/>
      <c r="S110" s="36">
        <f>R110+O110</f>
        <v>88650</v>
      </c>
      <c r="T110" s="36">
        <f>S110/0.7</f>
        <v>126642.85714285714</v>
      </c>
      <c r="U110" s="40">
        <f>T110/0.875</f>
        <v>144734.69387755104</v>
      </c>
      <c r="V110" s="41">
        <f>(U110-T110)/U110</f>
        <v>0.12500000000000008</v>
      </c>
      <c r="W110" s="40">
        <f>(ROUNDUP((U110/100),0))*100</f>
        <v>144800</v>
      </c>
      <c r="X110" s="42">
        <f>(T110-O110)/T110</f>
        <v>0.3</v>
      </c>
      <c r="Y110" s="43"/>
      <c r="Z110" s="43"/>
      <c r="AA110" s="43"/>
      <c r="AB110" s="59"/>
      <c r="BY110" s="78"/>
    </row>
    <row r="111" spans="2:77" ht="14.4" customHeight="1">
      <c r="B111" s="4">
        <v>136</v>
      </c>
      <c r="C111" s="5" t="s">
        <v>278</v>
      </c>
      <c r="D111" s="5" t="str">
        <f>REPLACE(C111,1,3, )</f>
        <v xml:space="preserve"> 555</v>
      </c>
      <c r="E111" s="6" t="s">
        <v>278</v>
      </c>
      <c r="F111" s="7">
        <f>IF(C111=E111,0,1)</f>
        <v>0</v>
      </c>
      <c r="G111" s="11" t="s">
        <v>298</v>
      </c>
      <c r="H111" s="11" t="s">
        <v>32</v>
      </c>
      <c r="I111" s="11" t="s">
        <v>366</v>
      </c>
      <c r="J111" s="12">
        <f>M111</f>
        <v>88000</v>
      </c>
      <c r="K111" s="13">
        <f>J111-M111</f>
        <v>0</v>
      </c>
      <c r="L111" s="17" t="s">
        <v>22</v>
      </c>
      <c r="M111" s="18">
        <v>88000</v>
      </c>
      <c r="N111" s="15">
        <f>2000+200+350+600+3000</f>
        <v>6150</v>
      </c>
      <c r="O111" s="39">
        <f>M111+N111</f>
        <v>94150</v>
      </c>
      <c r="P111" s="96"/>
      <c r="Q111" s="3" t="s">
        <v>458</v>
      </c>
      <c r="R111" s="36"/>
      <c r="S111" s="36">
        <f>R111+O111</f>
        <v>94150</v>
      </c>
      <c r="T111" s="36">
        <f>S111/0.7</f>
        <v>134500</v>
      </c>
      <c r="U111" s="40">
        <f>T111/0.875</f>
        <v>153714.28571428571</v>
      </c>
      <c r="V111" s="41">
        <f>(U111-T111)/U111</f>
        <v>0.12499999999999997</v>
      </c>
      <c r="W111" s="40">
        <f>(ROUNDUP((U111/100),0))*100</f>
        <v>153800</v>
      </c>
      <c r="X111" s="42">
        <f>(T111-O111)/T111</f>
        <v>0.3</v>
      </c>
      <c r="Y111" s="43"/>
      <c r="Z111" s="43"/>
      <c r="AA111" s="44"/>
      <c r="AB111" s="60"/>
    </row>
    <row r="112" spans="2:77" ht="14.4" customHeight="1">
      <c r="B112" s="4">
        <v>137</v>
      </c>
      <c r="C112" s="5" t="s">
        <v>133</v>
      </c>
      <c r="D112" s="5" t="str">
        <f>REPLACE(C112,1,3, )</f>
        <v xml:space="preserve"> 742</v>
      </c>
      <c r="E112" s="6" t="s">
        <v>133</v>
      </c>
      <c r="F112" s="7">
        <f>IF(C112=E112,0,1)</f>
        <v>0</v>
      </c>
      <c r="G112" s="11" t="s">
        <v>298</v>
      </c>
      <c r="H112" s="11" t="s">
        <v>32</v>
      </c>
      <c r="I112" s="11" t="s">
        <v>330</v>
      </c>
      <c r="J112" s="12">
        <v>104000</v>
      </c>
      <c r="K112" s="13">
        <f>J112-M112</f>
        <v>3900</v>
      </c>
      <c r="L112" s="7" t="s">
        <v>23</v>
      </c>
      <c r="M112" s="14">
        <f>J112-N112</f>
        <v>100100</v>
      </c>
      <c r="N112" s="14">
        <f>2000+200+350+600+750</f>
        <v>3900</v>
      </c>
      <c r="O112" s="39">
        <f>M112+N112</f>
        <v>104000</v>
      </c>
      <c r="P112" s="96"/>
      <c r="Q112" s="3" t="s">
        <v>375</v>
      </c>
      <c r="R112" s="36"/>
      <c r="S112" s="36">
        <f>R112+O112</f>
        <v>104000</v>
      </c>
      <c r="T112" s="36">
        <f>S112/0.7</f>
        <v>148571.42857142858</v>
      </c>
      <c r="U112" s="40">
        <f>T112/0.875</f>
        <v>169795.91836734695</v>
      </c>
      <c r="V112" s="41">
        <f>(U112-T112)/U112</f>
        <v>0.12500000000000003</v>
      </c>
      <c r="W112" s="40">
        <f>(ROUNDUP((U112/100),0))*100</f>
        <v>169800</v>
      </c>
      <c r="X112" s="42">
        <f>(T112-O112)/T112</f>
        <v>0.30000000000000004</v>
      </c>
      <c r="Y112" s="43"/>
      <c r="Z112" s="43"/>
      <c r="AA112" s="44"/>
      <c r="AB112" s="189" t="s">
        <v>1559</v>
      </c>
      <c r="AC112" s="145">
        <v>135611.11111111112</v>
      </c>
      <c r="AD112" s="146">
        <v>134571.42857142858</v>
      </c>
      <c r="AE112" s="147">
        <v>126735</v>
      </c>
      <c r="AF112" s="148">
        <v>7.7258787449870593E-3</v>
      </c>
      <c r="AG112" s="149">
        <v>115000</v>
      </c>
      <c r="AH112" s="155">
        <v>111720</v>
      </c>
      <c r="AI112" s="146">
        <v>112200</v>
      </c>
      <c r="AJ112" s="146">
        <v>108800</v>
      </c>
      <c r="AK112" s="151"/>
      <c r="AL112" s="149"/>
      <c r="AM112" s="151"/>
      <c r="AN112" s="146">
        <v>108800</v>
      </c>
      <c r="AO112" s="151">
        <v>147156</v>
      </c>
      <c r="AP112" s="156">
        <v>140130</v>
      </c>
      <c r="AQ112" s="146">
        <v>142987.14285714287</v>
      </c>
      <c r="AR112" s="146">
        <v>142988</v>
      </c>
      <c r="AS112" s="151">
        <v>145563</v>
      </c>
      <c r="AT112" s="156">
        <v>135000</v>
      </c>
      <c r="AU112" s="146">
        <v>140220</v>
      </c>
      <c r="AV112" s="146">
        <v>140220</v>
      </c>
      <c r="AW112" s="149"/>
      <c r="AX112" s="151"/>
      <c r="AY112" s="151"/>
      <c r="AZ112" s="151">
        <v>132840</v>
      </c>
      <c r="BA112" s="155">
        <v>124416</v>
      </c>
      <c r="BB112" s="146">
        <v>131166</v>
      </c>
      <c r="BC112" s="146">
        <v>131220</v>
      </c>
      <c r="BD112" s="151"/>
      <c r="BE112" s="149"/>
      <c r="BF112" s="151"/>
      <c r="BG112" s="151"/>
      <c r="BH112" s="151">
        <v>156500</v>
      </c>
      <c r="BI112" s="156">
        <v>155800</v>
      </c>
      <c r="BJ112" s="146">
        <v>139500</v>
      </c>
      <c r="BK112" s="146">
        <v>130000</v>
      </c>
      <c r="BL112" s="151"/>
      <c r="BM112" s="158"/>
      <c r="BN112" s="146">
        <v>126104.28571428572</v>
      </c>
      <c r="BO112" s="146">
        <v>121587</v>
      </c>
      <c r="BP112" s="151"/>
      <c r="BQ112" s="149"/>
      <c r="BR112" s="151"/>
      <c r="BS112" s="151"/>
      <c r="BT112" s="151"/>
      <c r="BU112" s="149"/>
      <c r="BV112" s="151"/>
      <c r="BW112" s="151"/>
      <c r="BX112" s="153"/>
    </row>
    <row r="113" spans="2:77" ht="14.4" customHeight="1">
      <c r="B113" s="4">
        <v>108</v>
      </c>
      <c r="C113" s="5" t="s">
        <v>1351</v>
      </c>
      <c r="D113" s="5" t="str">
        <f>REPLACE(C113,1,3, )</f>
        <v xml:space="preserve"> 321</v>
      </c>
      <c r="E113" s="6" t="s">
        <v>1351</v>
      </c>
      <c r="F113" s="7">
        <f>IF(C113=E113,0,1)</f>
        <v>0</v>
      </c>
      <c r="G113" s="11" t="s">
        <v>298</v>
      </c>
      <c r="H113" s="11" t="s">
        <v>577</v>
      </c>
      <c r="I113" s="11"/>
      <c r="J113" s="12"/>
      <c r="K113" s="13">
        <f>J113-M113</f>
        <v>0</v>
      </c>
      <c r="L113" s="7"/>
      <c r="M113" s="14"/>
      <c r="N113" s="14"/>
      <c r="O113" s="39">
        <f>M113+N113</f>
        <v>0</v>
      </c>
      <c r="P113" s="95"/>
      <c r="Q113" s="3"/>
      <c r="R113" s="36"/>
      <c r="S113" s="36">
        <f>R113+O113</f>
        <v>0</v>
      </c>
      <c r="T113" s="36">
        <f>S113/0.7</f>
        <v>0</v>
      </c>
      <c r="U113" s="40">
        <f>T113/0.875</f>
        <v>0</v>
      </c>
      <c r="V113" s="41" t="e">
        <f>(U113-T113)/U113</f>
        <v>#DIV/0!</v>
      </c>
      <c r="W113" s="40">
        <f>(ROUNDUP((U113/100),0))*100</f>
        <v>0</v>
      </c>
      <c r="X113" s="42" t="e">
        <f>(T113-O113)/T113</f>
        <v>#DIV/0!</v>
      </c>
      <c r="Y113" s="43"/>
      <c r="Z113" s="43"/>
      <c r="AA113" s="43"/>
      <c r="AB113" s="59"/>
    </row>
    <row r="114" spans="2:77" ht="14.4" customHeight="1">
      <c r="B114" s="4">
        <v>116</v>
      </c>
      <c r="C114" s="38" t="s">
        <v>576</v>
      </c>
      <c r="D114" s="5" t="str">
        <f>REPLACE(C114,1,3, )</f>
        <v xml:space="preserve"> 237</v>
      </c>
      <c r="E114" s="6" t="s">
        <v>576</v>
      </c>
      <c r="F114" s="7">
        <f>IF(C114=E114,0,1)</f>
        <v>0</v>
      </c>
      <c r="G114" s="8" t="s">
        <v>298</v>
      </c>
      <c r="H114" s="8" t="s">
        <v>577</v>
      </c>
      <c r="I114" s="8" t="s">
        <v>578</v>
      </c>
      <c r="J114" s="12"/>
      <c r="K114" s="13">
        <f>J114-M114</f>
        <v>0</v>
      </c>
      <c r="L114" s="7"/>
      <c r="M114" s="14">
        <f>J114-N114</f>
        <v>0</v>
      </c>
      <c r="N114" s="14"/>
      <c r="O114" s="39">
        <f>M114+N114</f>
        <v>0</v>
      </c>
      <c r="P114" s="95"/>
      <c r="Q114" s="3"/>
      <c r="R114" s="36"/>
      <c r="S114" s="36">
        <f>R114+O114</f>
        <v>0</v>
      </c>
      <c r="T114" s="36">
        <f>S114/0.7</f>
        <v>0</v>
      </c>
      <c r="U114" s="40">
        <f>T114/0.875</f>
        <v>0</v>
      </c>
      <c r="V114" s="41" t="e">
        <f>(U114-T114)/U114</f>
        <v>#DIV/0!</v>
      </c>
      <c r="W114" s="40">
        <f>(ROUNDUP((U114/100),0))*100</f>
        <v>0</v>
      </c>
      <c r="X114" s="42" t="e">
        <f>(T114-O114)/T114</f>
        <v>#DIV/0!</v>
      </c>
      <c r="Y114" s="43"/>
      <c r="Z114" s="43"/>
      <c r="AA114" s="44"/>
      <c r="AB114" s="60"/>
    </row>
    <row r="115" spans="2:77" ht="14.4" customHeight="1">
      <c r="B115" s="4">
        <v>122</v>
      </c>
      <c r="C115" s="38" t="s">
        <v>1340</v>
      </c>
      <c r="D115" s="5" t="str">
        <f>REPLACE(C115,1,3, )</f>
        <v xml:space="preserve"> 112</v>
      </c>
      <c r="E115" s="6" t="s">
        <v>1340</v>
      </c>
      <c r="F115" s="7">
        <f>IF(C115=E115,0,1)</f>
        <v>0</v>
      </c>
      <c r="G115" s="8" t="s">
        <v>298</v>
      </c>
      <c r="H115" s="8" t="s">
        <v>577</v>
      </c>
      <c r="I115" s="8" t="s">
        <v>578</v>
      </c>
      <c r="J115" s="12"/>
      <c r="K115" s="13">
        <f>J115-M115</f>
        <v>0</v>
      </c>
      <c r="L115" s="7"/>
      <c r="M115" s="14">
        <f>J115-N115</f>
        <v>0</v>
      </c>
      <c r="N115" s="15"/>
      <c r="O115" s="39">
        <f>M115+N115</f>
        <v>0</v>
      </c>
      <c r="P115" s="95"/>
      <c r="Q115" s="3"/>
      <c r="R115" s="36"/>
      <c r="S115" s="36">
        <f>R115+O115</f>
        <v>0</v>
      </c>
      <c r="T115" s="36">
        <f>S115/0.7</f>
        <v>0</v>
      </c>
      <c r="U115" s="40">
        <f>T115/0.875</f>
        <v>0</v>
      </c>
      <c r="V115" s="41" t="e">
        <f>(U115-T115)/U115</f>
        <v>#DIV/0!</v>
      </c>
      <c r="W115" s="40">
        <f>(ROUNDUP((U115/100),0))*100</f>
        <v>0</v>
      </c>
      <c r="X115" s="42" t="e">
        <f>(T115-O115)/T115</f>
        <v>#DIV/0!</v>
      </c>
      <c r="Y115" s="43"/>
      <c r="Z115" s="43"/>
      <c r="AA115" s="43"/>
      <c r="AB115" s="189" t="s">
        <v>1557</v>
      </c>
      <c r="AC115" s="145">
        <v>130928.57142857143</v>
      </c>
      <c r="AD115" s="146">
        <v>103000</v>
      </c>
      <c r="AE115" s="147">
        <v>90714</v>
      </c>
      <c r="AF115" s="148">
        <v>0.27115117891816926</v>
      </c>
      <c r="AG115" s="149">
        <v>76500</v>
      </c>
      <c r="AH115" s="150">
        <v>76807</v>
      </c>
      <c r="AI115" s="146">
        <v>77265.71428571429</v>
      </c>
      <c r="AJ115" s="146">
        <v>90213</v>
      </c>
      <c r="AK115" s="151"/>
      <c r="AL115" s="149"/>
      <c r="AM115" s="146">
        <v>100012.85714285714</v>
      </c>
      <c r="AN115" s="146">
        <v>107100</v>
      </c>
      <c r="AO115" s="151"/>
      <c r="AP115" s="152"/>
      <c r="AQ115" s="151"/>
      <c r="AR115" s="151"/>
      <c r="AS115" s="151"/>
      <c r="AT115" s="149"/>
      <c r="AU115" s="146">
        <v>105300</v>
      </c>
      <c r="AV115" s="146">
        <v>110475</v>
      </c>
      <c r="AW115" s="149"/>
      <c r="AX115" s="151"/>
      <c r="AY115" s="151"/>
      <c r="AZ115" s="151"/>
      <c r="BA115" s="149"/>
      <c r="BB115" s="151"/>
      <c r="BC115" s="151"/>
      <c r="BD115" s="151"/>
      <c r="BE115" s="149"/>
      <c r="BF115" s="151"/>
      <c r="BG115" s="151"/>
      <c r="BH115" s="151"/>
      <c r="BI115" s="149"/>
      <c r="BJ115" s="151"/>
      <c r="BK115" s="151"/>
      <c r="BL115" s="151"/>
      <c r="BM115" s="149"/>
      <c r="BN115" s="151"/>
      <c r="BO115" s="151"/>
      <c r="BP115" s="151"/>
      <c r="BQ115" s="149"/>
      <c r="BR115" s="151"/>
      <c r="BS115" s="151"/>
      <c r="BT115" s="151"/>
      <c r="BU115" s="149"/>
      <c r="BV115" s="151"/>
      <c r="BW115" s="151"/>
      <c r="BX115" s="153"/>
      <c r="BY115" s="78"/>
    </row>
    <row r="116" spans="2:77" ht="14.4" customHeight="1">
      <c r="B116" s="4">
        <v>99</v>
      </c>
      <c r="C116" s="5" t="s">
        <v>86</v>
      </c>
      <c r="D116" s="5" t="str">
        <f>REPLACE(C116,1,3, )</f>
        <v xml:space="preserve"> 153</v>
      </c>
      <c r="E116" s="6" t="s">
        <v>86</v>
      </c>
      <c r="F116" s="7">
        <f>IF(C116=E116,0,1)</f>
        <v>0</v>
      </c>
      <c r="G116" s="11" t="s">
        <v>20</v>
      </c>
      <c r="H116" s="11" t="s">
        <v>28</v>
      </c>
      <c r="I116" s="11" t="s">
        <v>359</v>
      </c>
      <c r="J116" s="12">
        <f>M116</f>
        <v>81500</v>
      </c>
      <c r="K116" s="13">
        <f>J116-M116</f>
        <v>0</v>
      </c>
      <c r="L116" s="17" t="s">
        <v>22</v>
      </c>
      <c r="M116" s="18">
        <v>81500</v>
      </c>
      <c r="N116" s="15">
        <f>2000+200+300+800+500+2850</f>
        <v>6650</v>
      </c>
      <c r="O116" s="39">
        <f>M116+N116</f>
        <v>88150</v>
      </c>
      <c r="P116" s="95"/>
      <c r="Q116" s="3" t="s">
        <v>418</v>
      </c>
      <c r="R116" s="36"/>
      <c r="S116" s="36">
        <f>R116+O116</f>
        <v>88150</v>
      </c>
      <c r="T116" s="36">
        <f>S116/0.7</f>
        <v>125928.57142857143</v>
      </c>
      <c r="U116" s="40">
        <f>T116/0.875</f>
        <v>143918.36734693879</v>
      </c>
      <c r="V116" s="41">
        <f>(U116-T116)/U116</f>
        <v>0.12500000000000003</v>
      </c>
      <c r="W116" s="40">
        <f>(ROUNDUP((U116/100),0))*100</f>
        <v>144000</v>
      </c>
      <c r="X116" s="42">
        <f>(T116-O116)/T116</f>
        <v>0.30000000000000004</v>
      </c>
      <c r="Y116" s="45">
        <v>123813</v>
      </c>
      <c r="Z116" s="46">
        <f>T116-Y116</f>
        <v>2115.5714285714348</v>
      </c>
      <c r="AA116" s="47">
        <f>Z116/Y116</f>
        <v>1.7086827946753855E-2</v>
      </c>
      <c r="AB116" s="60"/>
    </row>
    <row r="117" spans="2:77" ht="14.4" customHeight="1">
      <c r="B117" s="4">
        <v>101</v>
      </c>
      <c r="C117" s="5" t="s">
        <v>85</v>
      </c>
      <c r="D117" s="5" t="str">
        <f>REPLACE(C117,1,3, )</f>
        <v xml:space="preserve"> 442</v>
      </c>
      <c r="E117" s="6" t="s">
        <v>85</v>
      </c>
      <c r="F117" s="7">
        <f>IF(C117=E117,0,1)</f>
        <v>0</v>
      </c>
      <c r="G117" s="11" t="s">
        <v>20</v>
      </c>
      <c r="H117" s="11" t="s">
        <v>28</v>
      </c>
      <c r="I117" s="11" t="s">
        <v>359</v>
      </c>
      <c r="J117" s="12">
        <f>M117</f>
        <v>87000</v>
      </c>
      <c r="K117" s="13">
        <f>J117-M117</f>
        <v>0</v>
      </c>
      <c r="L117" s="17" t="s">
        <v>22</v>
      </c>
      <c r="M117" s="18">
        <v>87000</v>
      </c>
      <c r="N117" s="15">
        <f>2000+200+300+800+500+2850</f>
        <v>6650</v>
      </c>
      <c r="O117" s="39">
        <f>M117+N117</f>
        <v>93650</v>
      </c>
      <c r="P117" s="96"/>
      <c r="Q117" s="3" t="s">
        <v>418</v>
      </c>
      <c r="R117" s="36"/>
      <c r="S117" s="36">
        <f>R117+O117</f>
        <v>93650</v>
      </c>
      <c r="T117" s="36">
        <f>S117/0.7</f>
        <v>133785.71428571429</v>
      </c>
      <c r="U117" s="40">
        <f>T117/0.875</f>
        <v>152897.95918367346</v>
      </c>
      <c r="V117" s="41">
        <f>(U117-T117)/U117</f>
        <v>0.12499999999999993</v>
      </c>
      <c r="W117" s="40">
        <f>(ROUNDUP((U117/100),0))*100</f>
        <v>152900</v>
      </c>
      <c r="X117" s="42">
        <f>(T117-O117)/T117</f>
        <v>0.30000000000000004</v>
      </c>
      <c r="Y117" s="45">
        <v>132388</v>
      </c>
      <c r="Z117" s="46">
        <f>T117-Y117</f>
        <v>1397.7142857142899</v>
      </c>
      <c r="AA117" s="47">
        <f>Z117/Y117</f>
        <v>1.055771131608824E-2</v>
      </c>
      <c r="AB117" s="60"/>
    </row>
    <row r="118" spans="2:77" ht="14.4" customHeight="1">
      <c r="B118" s="4">
        <v>105</v>
      </c>
      <c r="C118" s="5" t="s">
        <v>84</v>
      </c>
      <c r="D118" s="5" t="str">
        <f>REPLACE(C118,1,3, )</f>
        <v xml:space="preserve"> 373</v>
      </c>
      <c r="E118" s="6" t="s">
        <v>84</v>
      </c>
      <c r="F118" s="7">
        <f>IF(C118=E118,0,1)</f>
        <v>0</v>
      </c>
      <c r="G118" s="11" t="s">
        <v>20</v>
      </c>
      <c r="H118" s="11" t="s">
        <v>28</v>
      </c>
      <c r="I118" s="11" t="s">
        <v>359</v>
      </c>
      <c r="J118" s="12">
        <f>M118</f>
        <v>87000</v>
      </c>
      <c r="K118" s="13">
        <f>J118-M118</f>
        <v>0</v>
      </c>
      <c r="L118" s="17" t="s">
        <v>22</v>
      </c>
      <c r="M118" s="18">
        <v>87000</v>
      </c>
      <c r="N118" s="15">
        <f>2000+400+1000+800+2850</f>
        <v>7050</v>
      </c>
      <c r="O118" s="39">
        <f>M118+N118</f>
        <v>94050</v>
      </c>
      <c r="P118" s="96"/>
      <c r="Q118" s="3" t="s">
        <v>438</v>
      </c>
      <c r="R118" s="36"/>
      <c r="S118" s="36">
        <f>R118+O118</f>
        <v>94050</v>
      </c>
      <c r="T118" s="36">
        <f>S118/0.7</f>
        <v>134357.14285714287</v>
      </c>
      <c r="U118" s="40">
        <f>T118/0.875</f>
        <v>153551.02040816328</v>
      </c>
      <c r="V118" s="41">
        <f>(U118-T118)/U118</f>
        <v>0.12500000000000003</v>
      </c>
      <c r="W118" s="40">
        <f>(ROUNDUP((U118/100),0))*100</f>
        <v>153600</v>
      </c>
      <c r="X118" s="42">
        <f>(T118-O118)/T118</f>
        <v>0.30000000000000004</v>
      </c>
      <c r="Y118" s="45">
        <v>127225</v>
      </c>
      <c r="Z118" s="46">
        <f>T118-Y118</f>
        <v>7132.1428571428696</v>
      </c>
      <c r="AA118" s="47">
        <f>Z118/Y118</f>
        <v>5.6059287538949655E-2</v>
      </c>
      <c r="AB118" s="60"/>
    </row>
    <row r="119" spans="2:77" ht="14.4" customHeight="1">
      <c r="B119" s="4">
        <v>106</v>
      </c>
      <c r="C119" s="38" t="s">
        <v>571</v>
      </c>
      <c r="D119" s="5" t="str">
        <f>REPLACE(C119,1,3, )</f>
        <v xml:space="preserve"> 747</v>
      </c>
      <c r="E119" s="6" t="s">
        <v>571</v>
      </c>
      <c r="F119" s="7">
        <f>IF(C119=E119,0,1)</f>
        <v>0</v>
      </c>
      <c r="G119" s="8" t="s">
        <v>20</v>
      </c>
      <c r="H119" s="8" t="s">
        <v>28</v>
      </c>
      <c r="I119" s="8" t="s">
        <v>572</v>
      </c>
      <c r="J119" s="12">
        <v>90000</v>
      </c>
      <c r="K119" s="13">
        <f>J119-M119</f>
        <v>6150</v>
      </c>
      <c r="L119" s="7"/>
      <c r="M119" s="14">
        <f>J119-N119</f>
        <v>83850</v>
      </c>
      <c r="N119" s="15">
        <f>2000+200+350+600+3000</f>
        <v>6150</v>
      </c>
      <c r="O119" s="39">
        <f>M119+N119</f>
        <v>90000</v>
      </c>
      <c r="P119" s="96"/>
      <c r="Q119" s="77" t="s">
        <v>1378</v>
      </c>
      <c r="R119" s="36"/>
      <c r="S119" s="36">
        <f>R119+O119</f>
        <v>90000</v>
      </c>
      <c r="T119" s="36">
        <f>S119/0.7</f>
        <v>128571.42857142858</v>
      </c>
      <c r="U119" s="40">
        <f>T119/0.875</f>
        <v>146938.77551020408</v>
      </c>
      <c r="V119" s="41">
        <f>(U119-T119)/U119</f>
        <v>0.12499999999999994</v>
      </c>
      <c r="W119" s="40">
        <f>(ROUNDUP((U119/100),0))*100</f>
        <v>147000</v>
      </c>
      <c r="X119" s="42">
        <f>(T119-O119)/T119</f>
        <v>0.30000000000000004</v>
      </c>
      <c r="Y119" s="45">
        <v>129500</v>
      </c>
      <c r="Z119" s="46">
        <f>T119-Y119</f>
        <v>-928.57142857142026</v>
      </c>
      <c r="AA119" s="47">
        <f>Z119/Y119</f>
        <v>-7.170435741864249E-3</v>
      </c>
      <c r="AB119" s="60"/>
    </row>
    <row r="120" spans="2:77" ht="14.4" customHeight="1">
      <c r="B120" s="4">
        <v>111</v>
      </c>
      <c r="C120" s="5" t="s">
        <v>224</v>
      </c>
      <c r="D120" s="5" t="str">
        <f>REPLACE(C120,1,3, )</f>
        <v xml:space="preserve"> 201</v>
      </c>
      <c r="E120" s="6" t="s">
        <v>224</v>
      </c>
      <c r="F120" s="7">
        <f>IF(C120=E120,0,1)</f>
        <v>0</v>
      </c>
      <c r="G120" s="11" t="s">
        <v>298</v>
      </c>
      <c r="H120" s="11" t="s">
        <v>28</v>
      </c>
      <c r="I120" s="11" t="s">
        <v>354</v>
      </c>
      <c r="J120" s="12">
        <v>97000</v>
      </c>
      <c r="K120" s="13">
        <f>J120-M120</f>
        <v>6450</v>
      </c>
      <c r="L120" s="7" t="s">
        <v>23</v>
      </c>
      <c r="M120" s="14">
        <f>J120-N120</f>
        <v>90550</v>
      </c>
      <c r="N120" s="15">
        <f>2000+200+350+600+300+3000</f>
        <v>6450</v>
      </c>
      <c r="O120" s="39">
        <f>M120+N120</f>
        <v>97000</v>
      </c>
      <c r="P120" s="96"/>
      <c r="Q120" s="3" t="s">
        <v>424</v>
      </c>
      <c r="R120" s="36"/>
      <c r="S120" s="36">
        <f>R120+O120</f>
        <v>97000</v>
      </c>
      <c r="T120" s="36">
        <f>S120/0.7</f>
        <v>138571.42857142858</v>
      </c>
      <c r="U120" s="40">
        <f>T120/0.875</f>
        <v>158367.34693877553</v>
      </c>
      <c r="V120" s="41">
        <f>(U120-T120)/U120</f>
        <v>0.12500000000000006</v>
      </c>
      <c r="W120" s="40">
        <f>(ROUNDUP((U120/100),0))*100</f>
        <v>158400</v>
      </c>
      <c r="X120" s="42">
        <f>(T120-O120)/T120</f>
        <v>0.30000000000000004</v>
      </c>
      <c r="Y120" s="43"/>
      <c r="Z120" s="43"/>
      <c r="AA120" s="43"/>
      <c r="AB120" s="59"/>
    </row>
    <row r="121" spans="2:77" ht="14.4" customHeight="1">
      <c r="B121" s="4">
        <v>118</v>
      </c>
      <c r="C121" s="5" t="s">
        <v>87</v>
      </c>
      <c r="D121" s="5" t="str">
        <f>REPLACE(C121,1,3, )</f>
        <v xml:space="preserve"> 265</v>
      </c>
      <c r="E121" s="6" t="s">
        <v>87</v>
      </c>
      <c r="F121" s="7">
        <f>IF(C121=E121,0,1)</f>
        <v>0</v>
      </c>
      <c r="G121" s="11" t="s">
        <v>20</v>
      </c>
      <c r="H121" s="11" t="s">
        <v>28</v>
      </c>
      <c r="I121" s="11" t="s">
        <v>359</v>
      </c>
      <c r="J121" s="12">
        <f>M121</f>
        <v>81500</v>
      </c>
      <c r="K121" s="13">
        <f>J121-M121</f>
        <v>0</v>
      </c>
      <c r="L121" s="17" t="s">
        <v>22</v>
      </c>
      <c r="M121" s="18">
        <v>81500</v>
      </c>
      <c r="N121" s="15">
        <f>2000+200+300+800+500+2850</f>
        <v>6650</v>
      </c>
      <c r="O121" s="39">
        <f>M121+N121</f>
        <v>88150</v>
      </c>
      <c r="P121" s="96"/>
      <c r="Q121" s="3" t="s">
        <v>418</v>
      </c>
      <c r="R121" s="36"/>
      <c r="S121" s="36">
        <f>R121+O121</f>
        <v>88150</v>
      </c>
      <c r="T121" s="36">
        <f>S121/0.7</f>
        <v>125928.57142857143</v>
      </c>
      <c r="U121" s="40">
        <f>T121/0.875</f>
        <v>143918.36734693879</v>
      </c>
      <c r="V121" s="41">
        <f>(U121-T121)/U121</f>
        <v>0.12500000000000003</v>
      </c>
      <c r="W121" s="40">
        <f>(ROUNDUP((U121/100),0))*100</f>
        <v>144000</v>
      </c>
      <c r="X121" s="42">
        <f>(T121-O121)/T121</f>
        <v>0.30000000000000004</v>
      </c>
      <c r="Y121" s="45">
        <v>123813</v>
      </c>
      <c r="Z121" s="46">
        <f>T121-Y121</f>
        <v>2115.5714285714348</v>
      </c>
      <c r="AA121" s="47">
        <f>Z121/Y121</f>
        <v>1.7086827946753855E-2</v>
      </c>
      <c r="AB121" s="60"/>
    </row>
    <row r="122" spans="2:77" ht="14.4" customHeight="1">
      <c r="B122" s="4">
        <v>120</v>
      </c>
      <c r="C122" s="5" t="s">
        <v>29</v>
      </c>
      <c r="D122" s="5" t="str">
        <f>REPLACE(C122,1,3, )</f>
        <v xml:space="preserve"> 615</v>
      </c>
      <c r="E122" s="6" t="s">
        <v>29</v>
      </c>
      <c r="F122" s="7">
        <f>IF(C122=E122,0,1)</f>
        <v>0</v>
      </c>
      <c r="G122" s="11" t="s">
        <v>20</v>
      </c>
      <c r="H122" s="11" t="s">
        <v>28</v>
      </c>
      <c r="I122" s="11" t="s">
        <v>352</v>
      </c>
      <c r="J122" s="12">
        <v>85000</v>
      </c>
      <c r="K122" s="13">
        <f>J122-M122</f>
        <v>6700</v>
      </c>
      <c r="L122" s="7" t="s">
        <v>23</v>
      </c>
      <c r="M122" s="14">
        <f>J122-N122</f>
        <v>78300</v>
      </c>
      <c r="N122" s="15">
        <f>2000+200+350+600+550+3000</f>
        <v>6700</v>
      </c>
      <c r="O122" s="39">
        <f>M122+N122</f>
        <v>85000</v>
      </c>
      <c r="P122" s="96"/>
      <c r="Q122" s="3" t="s">
        <v>418</v>
      </c>
      <c r="R122" s="36"/>
      <c r="S122" s="36">
        <f>R122+O122</f>
        <v>85000</v>
      </c>
      <c r="T122" s="36">
        <f>S122/0.7</f>
        <v>121428.57142857143</v>
      </c>
      <c r="U122" s="40">
        <f>T122/0.875</f>
        <v>138775.51020408163</v>
      </c>
      <c r="V122" s="41">
        <f>(U122-T122)/U122</f>
        <v>0.12499999999999992</v>
      </c>
      <c r="W122" s="40">
        <f>(ROUNDUP((U122/100),0))*100</f>
        <v>138800</v>
      </c>
      <c r="X122" s="42">
        <f>(T122-O122)/T122</f>
        <v>0.30000000000000004</v>
      </c>
      <c r="Y122" s="45">
        <v>121450</v>
      </c>
      <c r="Z122" s="46">
        <f>T122-Y122</f>
        <v>-21.428571428565192</v>
      </c>
      <c r="AA122" s="47">
        <f>Z122/Y122</f>
        <v>-1.7643945186138487E-4</v>
      </c>
      <c r="AB122" s="60"/>
    </row>
    <row r="123" spans="2:77" ht="14.4" customHeight="1">
      <c r="B123" s="4">
        <v>121</v>
      </c>
      <c r="C123" s="5" t="s">
        <v>254</v>
      </c>
      <c r="D123" s="5" t="str">
        <f>REPLACE(C123,1,3, )</f>
        <v xml:space="preserve"> 343</v>
      </c>
      <c r="E123" s="6" t="s">
        <v>254</v>
      </c>
      <c r="F123" s="7">
        <f>IF(C123=E123,0,1)</f>
        <v>0</v>
      </c>
      <c r="G123" s="11" t="s">
        <v>298</v>
      </c>
      <c r="H123" s="11" t="s">
        <v>28</v>
      </c>
      <c r="I123" s="11" t="s">
        <v>359</v>
      </c>
      <c r="J123" s="12">
        <f>M123</f>
        <v>87500</v>
      </c>
      <c r="K123" s="13">
        <f>J123-M123</f>
        <v>0</v>
      </c>
      <c r="L123" s="17" t="s">
        <v>22</v>
      </c>
      <c r="M123" s="18">
        <v>87500</v>
      </c>
      <c r="N123" s="15">
        <f>2000+200+350+600+300+800</f>
        <v>4250</v>
      </c>
      <c r="O123" s="39">
        <f>M123+N123</f>
        <v>91750</v>
      </c>
      <c r="P123" s="95"/>
      <c r="Q123" s="3" t="s">
        <v>440</v>
      </c>
      <c r="R123" s="36"/>
      <c r="S123" s="36">
        <f>R123+O123</f>
        <v>91750</v>
      </c>
      <c r="T123" s="36">
        <f>S123/0.7</f>
        <v>131071.42857142858</v>
      </c>
      <c r="U123" s="40">
        <f>T123/0.875</f>
        <v>149795.91836734695</v>
      </c>
      <c r="V123" s="41">
        <f>(U123-T123)/U123</f>
        <v>0.12500000000000003</v>
      </c>
      <c r="W123" s="40">
        <f>(ROUNDUP((U123/100),0))*100</f>
        <v>149800</v>
      </c>
      <c r="X123" s="42">
        <f>(T123-O123)/T123</f>
        <v>0.30000000000000004</v>
      </c>
      <c r="Y123" s="43"/>
      <c r="Z123" s="43"/>
      <c r="AA123" s="43"/>
      <c r="AB123" s="59"/>
    </row>
    <row r="124" spans="2:77" ht="14.4" customHeight="1">
      <c r="B124" s="4">
        <v>134</v>
      </c>
      <c r="C124" s="5" t="s">
        <v>33</v>
      </c>
      <c r="D124" s="5" t="str">
        <f>REPLACE(C124,1,3, )</f>
        <v xml:space="preserve"> 142</v>
      </c>
      <c r="E124" s="6" t="s">
        <v>33</v>
      </c>
      <c r="F124" s="7">
        <f>IF(C124=E124,0,1)</f>
        <v>0</v>
      </c>
      <c r="G124" s="11" t="s">
        <v>20</v>
      </c>
      <c r="H124" s="11" t="s">
        <v>28</v>
      </c>
      <c r="I124" s="11" t="s">
        <v>359</v>
      </c>
      <c r="J124" s="12"/>
      <c r="K124" s="13">
        <f>J124-M124</f>
        <v>0</v>
      </c>
      <c r="L124" s="7"/>
      <c r="M124" s="14">
        <f>J124-N124</f>
        <v>0</v>
      </c>
      <c r="N124" s="15"/>
      <c r="O124" s="39">
        <f>M124+N124</f>
        <v>0</v>
      </c>
      <c r="P124" s="95"/>
      <c r="Q124" s="3"/>
      <c r="R124" s="36"/>
      <c r="S124" s="36">
        <f>R124+O124</f>
        <v>0</v>
      </c>
      <c r="T124" s="36">
        <f>S124/0.7</f>
        <v>0</v>
      </c>
      <c r="U124" s="40">
        <f>T124/0.875</f>
        <v>0</v>
      </c>
      <c r="V124" s="41" t="e">
        <f>(U124-T124)/U124</f>
        <v>#DIV/0!</v>
      </c>
      <c r="W124" s="40">
        <f>(ROUNDUP((U124/100),0))*100</f>
        <v>0</v>
      </c>
      <c r="X124" s="42" t="e">
        <f>(T124-O124)/T124</f>
        <v>#DIV/0!</v>
      </c>
      <c r="Y124" s="45">
        <v>137813</v>
      </c>
      <c r="Z124" s="46">
        <f>T124-Y124</f>
        <v>-137813</v>
      </c>
      <c r="AA124" s="47">
        <f>Z124/Y124</f>
        <v>-1</v>
      </c>
      <c r="AB124" s="189" t="s">
        <v>1560</v>
      </c>
      <c r="AC124" s="145">
        <v>126458.33333333336</v>
      </c>
      <c r="AD124" s="146">
        <v>122031.74603174604</v>
      </c>
      <c r="AE124" s="147">
        <v>121122</v>
      </c>
      <c r="AF124" s="148">
        <v>3.6274063475546472E-2</v>
      </c>
      <c r="AG124" s="149">
        <v>105000</v>
      </c>
      <c r="AH124" s="150">
        <v>101272</v>
      </c>
      <c r="AI124" s="147">
        <v>104550</v>
      </c>
      <c r="AJ124" s="147">
        <v>101320</v>
      </c>
      <c r="AK124" s="154"/>
      <c r="AL124" s="155">
        <v>108229</v>
      </c>
      <c r="AM124" s="147">
        <v>111720</v>
      </c>
      <c r="AN124" s="147">
        <v>105486</v>
      </c>
      <c r="AO124" s="154">
        <v>129247</v>
      </c>
      <c r="AP124" s="156">
        <v>122580</v>
      </c>
      <c r="AQ124" s="147">
        <v>119085.71428571429</v>
      </c>
      <c r="AR124" s="147">
        <v>119070</v>
      </c>
      <c r="AS124" s="154">
        <v>137913</v>
      </c>
      <c r="AT124" s="156">
        <v>131400</v>
      </c>
      <c r="AU124" s="147">
        <v>123685.71428571429</v>
      </c>
      <c r="AV124" s="147">
        <v>126000</v>
      </c>
      <c r="AW124" s="149"/>
      <c r="AX124" s="151"/>
      <c r="AY124" s="151"/>
      <c r="AZ124" s="151">
        <v>127140</v>
      </c>
      <c r="BA124" s="156">
        <v>126444</v>
      </c>
      <c r="BB124" s="147">
        <v>127643</v>
      </c>
      <c r="BC124" s="147">
        <v>105486</v>
      </c>
      <c r="BD124" s="154"/>
      <c r="BE124" s="149"/>
      <c r="BF124" s="151"/>
      <c r="BG124" s="151"/>
      <c r="BH124" s="151">
        <v>153318</v>
      </c>
      <c r="BI124" s="156">
        <v>161200</v>
      </c>
      <c r="BJ124" s="151"/>
      <c r="BK124" s="147">
        <v>132500</v>
      </c>
      <c r="BL124" s="154"/>
      <c r="BM124" s="149"/>
      <c r="BN124" s="147">
        <v>118030.00000000001</v>
      </c>
      <c r="BO124" s="147">
        <v>113609</v>
      </c>
      <c r="BP124" s="154"/>
      <c r="BQ124" s="149"/>
      <c r="BR124" s="151"/>
      <c r="BS124" s="151"/>
      <c r="BT124" s="151"/>
      <c r="BU124" s="149"/>
      <c r="BV124" s="151"/>
      <c r="BW124" s="151"/>
      <c r="BX124" s="153"/>
    </row>
    <row r="125" spans="2:77" ht="14.4" customHeight="1">
      <c r="B125" s="4">
        <v>138</v>
      </c>
      <c r="C125" s="5" t="s">
        <v>35</v>
      </c>
      <c r="D125" s="5" t="str">
        <f>REPLACE(C125,1,3, )</f>
        <v xml:space="preserve"> 258</v>
      </c>
      <c r="E125" s="6" t="s">
        <v>35</v>
      </c>
      <c r="F125" s="7">
        <f>IF(C125=E125,0,1)</f>
        <v>0</v>
      </c>
      <c r="G125" s="11" t="s">
        <v>20</v>
      </c>
      <c r="H125" s="11" t="s">
        <v>321</v>
      </c>
      <c r="I125" s="11" t="s">
        <v>354</v>
      </c>
      <c r="J125" s="12">
        <v>86500</v>
      </c>
      <c r="K125" s="13">
        <f>J125-M125</f>
        <v>6650</v>
      </c>
      <c r="L125" s="7" t="s">
        <v>23</v>
      </c>
      <c r="M125" s="14">
        <f>J125-N125</f>
        <v>79850</v>
      </c>
      <c r="N125" s="15">
        <f>2000+200+350+600+500+3000</f>
        <v>6650</v>
      </c>
      <c r="O125" s="39">
        <f>M125+N125</f>
        <v>86500</v>
      </c>
      <c r="P125" s="95"/>
      <c r="Q125" s="3" t="s">
        <v>423</v>
      </c>
      <c r="R125" s="36"/>
      <c r="S125" s="36">
        <f>R125+O125</f>
        <v>86500</v>
      </c>
      <c r="T125" s="36">
        <f>S125/0.7</f>
        <v>123571.42857142858</v>
      </c>
      <c r="U125" s="40">
        <f>T125/0.875</f>
        <v>141224.48979591837</v>
      </c>
      <c r="V125" s="41">
        <f>(U125-T125)/U125</f>
        <v>0.12499999999999997</v>
      </c>
      <c r="W125" s="40">
        <f>(ROUNDUP((U125/100),0))*100</f>
        <v>141300</v>
      </c>
      <c r="X125" s="42">
        <f>(T125-O125)/T125</f>
        <v>0.30000000000000004</v>
      </c>
      <c r="Y125" s="45">
        <v>124338</v>
      </c>
      <c r="Z125" s="46">
        <f>T125-Y125</f>
        <v>-766.57142857142026</v>
      </c>
      <c r="AA125" s="47">
        <f>Z125/Y125</f>
        <v>-6.165222446648814E-3</v>
      </c>
      <c r="AB125" s="60"/>
      <c r="AC125" s="144" t="s">
        <v>1514</v>
      </c>
      <c r="AD125" s="142"/>
      <c r="AE125" s="142"/>
      <c r="AF125" s="143"/>
      <c r="AG125" s="141"/>
      <c r="AH125" s="142"/>
      <c r="AI125" s="142"/>
      <c r="AJ125" s="142"/>
      <c r="AK125" s="142"/>
      <c r="AL125" s="141"/>
      <c r="AM125" s="142"/>
      <c r="AN125" s="142"/>
      <c r="AO125" s="142"/>
      <c r="AP125" s="141"/>
      <c r="AQ125" s="142"/>
      <c r="AR125" s="142"/>
      <c r="AS125" s="142"/>
      <c r="AT125" s="141"/>
      <c r="AU125" s="142"/>
      <c r="AV125" s="142"/>
      <c r="AW125" s="141"/>
      <c r="AX125" s="142"/>
      <c r="AY125" s="142"/>
      <c r="AZ125" s="142"/>
      <c r="BA125" s="141"/>
      <c r="BB125" s="142"/>
      <c r="BC125" s="142"/>
      <c r="BD125" s="142"/>
      <c r="BE125" s="141"/>
      <c r="BF125" s="142"/>
      <c r="BG125" s="142"/>
      <c r="BH125" s="142"/>
      <c r="BI125" s="141"/>
      <c r="BJ125" s="142"/>
      <c r="BK125" s="142"/>
      <c r="BL125" s="142"/>
      <c r="BM125" s="141"/>
      <c r="BN125" s="142"/>
      <c r="BO125" s="142"/>
      <c r="BP125" s="142"/>
      <c r="BQ125" s="141"/>
      <c r="BR125" s="142"/>
      <c r="BS125" s="142"/>
      <c r="BT125" s="142"/>
      <c r="BU125" s="141"/>
      <c r="BV125" s="142"/>
      <c r="BW125" s="142"/>
      <c r="BY125" s="78"/>
    </row>
    <row r="126" spans="2:77" ht="14.4" customHeight="1">
      <c r="B126" s="4">
        <v>124</v>
      </c>
      <c r="C126" s="5" t="s">
        <v>1353</v>
      </c>
      <c r="D126" s="5" t="str">
        <f>REPLACE(C126,1,3, )</f>
        <v xml:space="preserve"> 148</v>
      </c>
      <c r="E126" s="6" t="s">
        <v>1353</v>
      </c>
      <c r="F126" s="7">
        <f>IF(C126=E126,0,1)</f>
        <v>0</v>
      </c>
      <c r="G126" s="11" t="s">
        <v>298</v>
      </c>
      <c r="H126" s="11" t="s">
        <v>305</v>
      </c>
      <c r="I126" s="11" t="s">
        <v>365</v>
      </c>
      <c r="J126" s="12">
        <f>M126</f>
        <v>110000</v>
      </c>
      <c r="K126" s="13">
        <f>J126-M126</f>
        <v>0</v>
      </c>
      <c r="L126" s="17" t="s">
        <v>22</v>
      </c>
      <c r="M126" s="18">
        <v>110000</v>
      </c>
      <c r="N126" s="15">
        <f>2000+200+350+600+3000</f>
        <v>6150</v>
      </c>
      <c r="O126" s="39">
        <f>M126+N126</f>
        <v>116150</v>
      </c>
      <c r="P126" s="95"/>
      <c r="Q126" s="3" t="s">
        <v>458</v>
      </c>
      <c r="R126" s="36"/>
      <c r="S126" s="36">
        <f>R126+O126</f>
        <v>116150</v>
      </c>
      <c r="T126" s="36">
        <f>S126/0.7</f>
        <v>165928.57142857145</v>
      </c>
      <c r="U126" s="40">
        <f>T126/0.875</f>
        <v>189632.65306122453</v>
      </c>
      <c r="V126" s="41">
        <f>(U126-T126)/U126</f>
        <v>0.12500000000000006</v>
      </c>
      <c r="W126" s="40">
        <f>(ROUNDUP((U126/100),0))*100</f>
        <v>189700</v>
      </c>
      <c r="X126" s="42">
        <f>(T126-O126)/T126</f>
        <v>0.3000000000000001</v>
      </c>
      <c r="Y126" s="43"/>
      <c r="Z126" s="43"/>
      <c r="AA126" s="44"/>
      <c r="AB126" s="60"/>
    </row>
    <row r="127" spans="2:77" ht="14.4" customHeight="1">
      <c r="B127" s="4">
        <v>126</v>
      </c>
      <c r="C127" s="5" t="s">
        <v>134</v>
      </c>
      <c r="D127" s="5" t="str">
        <f>REPLACE(C127,1,3, )</f>
        <v xml:space="preserve"> 929</v>
      </c>
      <c r="E127" s="6" t="s">
        <v>134</v>
      </c>
      <c r="F127" s="7">
        <f>IF(C127=E127,0,1)</f>
        <v>0</v>
      </c>
      <c r="G127" s="11" t="s">
        <v>298</v>
      </c>
      <c r="H127" s="11" t="s">
        <v>305</v>
      </c>
      <c r="I127" s="11" t="s">
        <v>330</v>
      </c>
      <c r="J127" s="12">
        <v>112000</v>
      </c>
      <c r="K127" s="13">
        <f>J127-M127</f>
        <v>6150</v>
      </c>
      <c r="L127" s="7" t="s">
        <v>23</v>
      </c>
      <c r="M127" s="14">
        <f>J127-N127</f>
        <v>105850</v>
      </c>
      <c r="N127" s="14">
        <f>2000+200+350+600+3000</f>
        <v>6150</v>
      </c>
      <c r="O127" s="39">
        <f>M127+N127</f>
        <v>112000</v>
      </c>
      <c r="P127" s="95"/>
      <c r="Q127" s="3" t="s">
        <v>376</v>
      </c>
      <c r="R127" s="36"/>
      <c r="S127" s="36">
        <f>R127+O127</f>
        <v>112000</v>
      </c>
      <c r="T127" s="36">
        <f>S127/0.7</f>
        <v>160000</v>
      </c>
      <c r="U127" s="40">
        <f>T127/0.875</f>
        <v>182857.14285714287</v>
      </c>
      <c r="V127" s="41">
        <f>(U127-T127)/U127</f>
        <v>0.12500000000000006</v>
      </c>
      <c r="W127" s="40">
        <f>(ROUNDUP((U127/100),0))*100</f>
        <v>182900</v>
      </c>
      <c r="X127" s="42">
        <f>(T127-O127)/T127</f>
        <v>0.3</v>
      </c>
      <c r="Y127" s="43"/>
      <c r="Z127" s="43"/>
      <c r="AA127" s="43"/>
      <c r="AB127" s="59"/>
    </row>
    <row r="128" spans="2:77" ht="14.4" customHeight="1">
      <c r="B128" s="4">
        <v>331</v>
      </c>
      <c r="C128" s="38" t="s">
        <v>673</v>
      </c>
      <c r="D128" s="5" t="str">
        <f>REPLACE(C128,1,3, )</f>
        <v xml:space="preserve"> 694</v>
      </c>
      <c r="E128" s="6" t="s">
        <v>673</v>
      </c>
      <c r="F128" s="7">
        <f>IF(C128=E128,0,1)</f>
        <v>0</v>
      </c>
      <c r="G128" s="8" t="s">
        <v>298</v>
      </c>
      <c r="H128" s="8" t="s">
        <v>305</v>
      </c>
      <c r="I128" s="8" t="s">
        <v>674</v>
      </c>
      <c r="J128" s="12">
        <v>80000</v>
      </c>
      <c r="K128" s="13">
        <f>J128-M128</f>
        <v>6800</v>
      </c>
      <c r="L128" s="7" t="s">
        <v>23</v>
      </c>
      <c r="M128" s="14">
        <f>J128-N128</f>
        <v>73200</v>
      </c>
      <c r="N128" s="15">
        <f>2000+200+350+600+650+3000</f>
        <v>6800</v>
      </c>
      <c r="O128" s="39">
        <f>M128+N128</f>
        <v>80000</v>
      </c>
      <c r="P128" s="95"/>
      <c r="Q128" s="77" t="s">
        <v>1553</v>
      </c>
      <c r="R128" s="36"/>
      <c r="S128" s="36">
        <f>R128+O128</f>
        <v>80000</v>
      </c>
      <c r="T128" s="36">
        <f>S128/0.7</f>
        <v>114285.71428571429</v>
      </c>
      <c r="U128" s="40">
        <f>T128/0.875</f>
        <v>130612.24489795919</v>
      </c>
      <c r="V128" s="41">
        <f>(U128-T128)/U128</f>
        <v>0.12499999999999999</v>
      </c>
      <c r="W128" s="40">
        <f>(ROUNDUP((U128/100),0))*100</f>
        <v>130700</v>
      </c>
      <c r="X128" s="42">
        <f>(T128-O128)/T128</f>
        <v>0.30000000000000004</v>
      </c>
      <c r="Y128" s="43"/>
      <c r="Z128" s="43"/>
      <c r="AA128" s="43"/>
      <c r="AB128" s="189" t="s">
        <v>1561</v>
      </c>
      <c r="AC128" s="145">
        <v>154500</v>
      </c>
      <c r="AD128" s="146">
        <v>152071.42857142858</v>
      </c>
      <c r="AE128" s="146"/>
      <c r="AF128" s="148">
        <v>1.5969938938468708E-2</v>
      </c>
      <c r="AG128" s="190">
        <v>161667</v>
      </c>
      <c r="AH128" s="156">
        <v>154402</v>
      </c>
      <c r="AI128" s="146">
        <v>144075</v>
      </c>
      <c r="AJ128" s="151"/>
      <c r="AK128" s="151"/>
      <c r="AL128" s="156">
        <v>167580</v>
      </c>
      <c r="AM128" s="146">
        <v>167580</v>
      </c>
      <c r="AN128" s="151"/>
      <c r="AO128" s="151"/>
      <c r="AP128" s="149"/>
      <c r="AQ128" s="151"/>
      <c r="AR128" s="151"/>
      <c r="AS128" s="151"/>
      <c r="AT128" s="149"/>
      <c r="AU128" s="151"/>
      <c r="AV128" s="151"/>
      <c r="AW128" s="149"/>
      <c r="AX128" s="151"/>
      <c r="AY128" s="151"/>
      <c r="AZ128" s="151">
        <v>134460</v>
      </c>
      <c r="BA128" s="155">
        <v>136206</v>
      </c>
      <c r="BB128" s="146">
        <v>136593</v>
      </c>
      <c r="BC128" s="151"/>
      <c r="BD128" s="151"/>
      <c r="BE128" s="149"/>
      <c r="BF128" s="151"/>
      <c r="BG128" s="151"/>
      <c r="BH128" s="151">
        <v>187000</v>
      </c>
      <c r="BI128" s="156">
        <v>185000</v>
      </c>
      <c r="BJ128" s="151"/>
      <c r="BK128" s="151"/>
      <c r="BL128" s="151"/>
      <c r="BM128" s="149"/>
      <c r="BN128" s="151"/>
      <c r="BO128" s="151"/>
      <c r="BP128" s="151"/>
      <c r="BQ128" s="149"/>
      <c r="BR128" s="151"/>
      <c r="BS128" s="151"/>
      <c r="BT128" s="151"/>
      <c r="BU128" s="149"/>
      <c r="BV128" s="151"/>
      <c r="BW128" s="151"/>
      <c r="BX128" s="153"/>
      <c r="BY128" s="78"/>
    </row>
    <row r="129" spans="2:77" ht="14.4" customHeight="1">
      <c r="B129" s="4">
        <v>91</v>
      </c>
      <c r="C129" s="38" t="s">
        <v>561</v>
      </c>
      <c r="D129" s="5" t="str">
        <f>REPLACE(C129,1,3, )</f>
        <v xml:space="preserve"> 889</v>
      </c>
      <c r="E129" s="6" t="s">
        <v>561</v>
      </c>
      <c r="F129" s="7">
        <f>IF(C129=E129,0,1)</f>
        <v>0</v>
      </c>
      <c r="G129" s="8" t="s">
        <v>298</v>
      </c>
      <c r="H129" s="8" t="s">
        <v>562</v>
      </c>
      <c r="I129" s="8" t="s">
        <v>512</v>
      </c>
      <c r="J129" s="12"/>
      <c r="K129" s="13">
        <f>J129-M129</f>
        <v>0</v>
      </c>
      <c r="L129" s="7"/>
      <c r="M129" s="14">
        <f>J129-N129</f>
        <v>0</v>
      </c>
      <c r="N129" s="15"/>
      <c r="O129" s="39">
        <f>M129+N129</f>
        <v>0</v>
      </c>
      <c r="P129" s="96"/>
      <c r="Q129" s="3"/>
      <c r="R129" s="36"/>
      <c r="S129" s="36">
        <f>R129+O129</f>
        <v>0</v>
      </c>
      <c r="T129" s="36">
        <f>S129/0.7</f>
        <v>0</v>
      </c>
      <c r="U129" s="40">
        <f>T129/0.875</f>
        <v>0</v>
      </c>
      <c r="V129" s="41" t="e">
        <f>(U129-T129)/U129</f>
        <v>#DIV/0!</v>
      </c>
      <c r="W129" s="40">
        <f>(ROUNDUP((U129/100),0))*100</f>
        <v>0</v>
      </c>
      <c r="X129" s="42" t="e">
        <f>(T129-O129)/T129</f>
        <v>#DIV/0!</v>
      </c>
      <c r="Y129" s="45"/>
      <c r="Z129" s="46"/>
      <c r="AA129" s="47"/>
      <c r="AB129" s="60"/>
    </row>
    <row r="130" spans="2:77" ht="14.4" customHeight="1">
      <c r="B130" s="4">
        <v>92</v>
      </c>
      <c r="C130" s="38" t="s">
        <v>563</v>
      </c>
      <c r="D130" s="5" t="str">
        <f>REPLACE(C130,1,3, )</f>
        <v xml:space="preserve"> 475</v>
      </c>
      <c r="E130" s="6" t="s">
        <v>563</v>
      </c>
      <c r="F130" s="7">
        <f>IF(C130=E130,0,1)</f>
        <v>0</v>
      </c>
      <c r="G130" s="8" t="s">
        <v>20</v>
      </c>
      <c r="H130" s="8" t="s">
        <v>562</v>
      </c>
      <c r="I130" s="8" t="s">
        <v>564</v>
      </c>
      <c r="J130" s="90">
        <v>53000</v>
      </c>
      <c r="K130" s="90">
        <f>J130-M130</f>
        <v>0</v>
      </c>
      <c r="L130" s="103" t="s">
        <v>1428</v>
      </c>
      <c r="M130" s="86">
        <f>J130</f>
        <v>53000</v>
      </c>
      <c r="N130" s="87">
        <f>2000+500+500+200</f>
        <v>3200</v>
      </c>
      <c r="O130" s="101">
        <f>M130+N130</f>
        <v>56200</v>
      </c>
      <c r="P130" s="95"/>
      <c r="Q130" s="88" t="s">
        <v>1412</v>
      </c>
      <c r="R130" s="36"/>
      <c r="S130" s="36">
        <f>R130+O130</f>
        <v>56200</v>
      </c>
      <c r="T130" s="36">
        <f>S130/0.7</f>
        <v>80285.71428571429</v>
      </c>
      <c r="U130" s="40">
        <f>T130/0.875</f>
        <v>91755.102040816331</v>
      </c>
      <c r="V130" s="41">
        <f>(U130-T130)/U130</f>
        <v>0.125</v>
      </c>
      <c r="W130" s="40">
        <f>(ROUNDUP((U130/100),0))*100</f>
        <v>91800</v>
      </c>
      <c r="X130" s="42">
        <f>(T130-O130)/T130</f>
        <v>0.30000000000000004</v>
      </c>
      <c r="Y130" s="45">
        <v>81725</v>
      </c>
      <c r="Z130" s="46">
        <f>T130-Y130</f>
        <v>-1439.2857142857101</v>
      </c>
      <c r="AA130" s="47">
        <f>Z130/Y130</f>
        <v>-1.761132718612065E-2</v>
      </c>
      <c r="AB130" s="60"/>
    </row>
    <row r="131" spans="2:77" ht="14.4" customHeight="1">
      <c r="B131" s="4">
        <v>93</v>
      </c>
      <c r="C131" s="38" t="s">
        <v>565</v>
      </c>
      <c r="D131" s="5" t="str">
        <f>REPLACE(C131,1,3, )</f>
        <v xml:space="preserve"> 282</v>
      </c>
      <c r="E131" s="6" t="s">
        <v>565</v>
      </c>
      <c r="F131" s="7">
        <f>IF(C131=E131,0,1)</f>
        <v>0</v>
      </c>
      <c r="G131" s="8" t="s">
        <v>298</v>
      </c>
      <c r="H131" s="8" t="s">
        <v>562</v>
      </c>
      <c r="I131" s="8" t="s">
        <v>512</v>
      </c>
      <c r="J131" s="12"/>
      <c r="K131" s="13">
        <f>J131-M131</f>
        <v>0</v>
      </c>
      <c r="L131" s="7"/>
      <c r="M131" s="14">
        <f>J131-N131</f>
        <v>0</v>
      </c>
      <c r="N131" s="15"/>
      <c r="O131" s="39">
        <f>M131+N131</f>
        <v>0</v>
      </c>
      <c r="P131" s="96"/>
      <c r="Q131" s="3"/>
      <c r="R131" s="36"/>
      <c r="S131" s="36">
        <f>R131+O131</f>
        <v>0</v>
      </c>
      <c r="T131" s="36">
        <f>S131/0.7</f>
        <v>0</v>
      </c>
      <c r="U131" s="40">
        <f>T131/0.875</f>
        <v>0</v>
      </c>
      <c r="V131" s="41" t="e">
        <f>(U131-T131)/U131</f>
        <v>#DIV/0!</v>
      </c>
      <c r="W131" s="40">
        <f>(ROUNDUP((U131/100),0))*100</f>
        <v>0</v>
      </c>
      <c r="X131" s="42" t="e">
        <f>(T131-O131)/T131</f>
        <v>#DIV/0!</v>
      </c>
      <c r="Y131" s="45"/>
      <c r="Z131" s="46"/>
      <c r="AA131" s="47"/>
      <c r="AB131" s="60"/>
    </row>
    <row r="132" spans="2:77" ht="14.4" customHeight="1">
      <c r="B132" s="4">
        <v>94</v>
      </c>
      <c r="C132" s="38" t="s">
        <v>566</v>
      </c>
      <c r="D132" s="5" t="str">
        <f>REPLACE(C132,1,3, )</f>
        <v xml:space="preserve"> 524</v>
      </c>
      <c r="E132" s="6" t="s">
        <v>566</v>
      </c>
      <c r="F132" s="7">
        <f>IF(C132=E132,0,1)</f>
        <v>0</v>
      </c>
      <c r="G132" s="8" t="s">
        <v>298</v>
      </c>
      <c r="H132" s="8" t="s">
        <v>562</v>
      </c>
      <c r="I132" s="8" t="s">
        <v>567</v>
      </c>
      <c r="J132" s="12"/>
      <c r="K132" s="13">
        <f>J132-M132</f>
        <v>0</v>
      </c>
      <c r="L132" s="7"/>
      <c r="M132" s="14">
        <f>J132-N132</f>
        <v>0</v>
      </c>
      <c r="N132" s="15"/>
      <c r="O132" s="39">
        <f>M132+N132</f>
        <v>0</v>
      </c>
      <c r="P132" s="96"/>
      <c r="Q132" s="3"/>
      <c r="R132" s="36"/>
      <c r="S132" s="36">
        <f>R132+O132</f>
        <v>0</v>
      </c>
      <c r="T132" s="36">
        <f>S132/0.7</f>
        <v>0</v>
      </c>
      <c r="U132" s="40">
        <f>T132/0.875</f>
        <v>0</v>
      </c>
      <c r="V132" s="41" t="e">
        <f>(U132-T132)/U132</f>
        <v>#DIV/0!</v>
      </c>
      <c r="W132" s="40">
        <f>(ROUNDUP((U132/100),0))*100</f>
        <v>0</v>
      </c>
      <c r="X132" s="42" t="e">
        <f>(T132-O132)/T132</f>
        <v>#DIV/0!</v>
      </c>
      <c r="Y132" s="45"/>
      <c r="Z132" s="46"/>
      <c r="AA132" s="47"/>
      <c r="AB132" s="60"/>
    </row>
    <row r="133" spans="2:77" ht="14.4" customHeight="1">
      <c r="B133" s="4">
        <v>95</v>
      </c>
      <c r="C133" s="38" t="s">
        <v>568</v>
      </c>
      <c r="D133" s="5" t="str">
        <f>REPLACE(C133,1,3, )</f>
        <v xml:space="preserve"> 707</v>
      </c>
      <c r="E133" s="6" t="s">
        <v>568</v>
      </c>
      <c r="F133" s="7">
        <f>IF(C133=E133,0,1)</f>
        <v>0</v>
      </c>
      <c r="G133" s="8" t="s">
        <v>20</v>
      </c>
      <c r="H133" s="8" t="s">
        <v>562</v>
      </c>
      <c r="I133" s="8" t="s">
        <v>535</v>
      </c>
      <c r="J133" s="12"/>
      <c r="K133" s="13">
        <f>J133-M133</f>
        <v>0</v>
      </c>
      <c r="L133" s="7"/>
      <c r="M133" s="14">
        <f>J133-N133</f>
        <v>0</v>
      </c>
      <c r="N133" s="15"/>
      <c r="O133" s="39">
        <f>M133+N133</f>
        <v>0</v>
      </c>
      <c r="P133" s="96"/>
      <c r="Q133" s="3"/>
      <c r="R133" s="36"/>
      <c r="S133" s="36">
        <f>R133+O133</f>
        <v>0</v>
      </c>
      <c r="T133" s="36">
        <f>S133/0.7</f>
        <v>0</v>
      </c>
      <c r="U133" s="40">
        <f>T133/0.875</f>
        <v>0</v>
      </c>
      <c r="V133" s="41" t="e">
        <f>(U133-T133)/U133</f>
        <v>#DIV/0!</v>
      </c>
      <c r="W133" s="40">
        <f>(ROUNDUP((U133/100),0))*100</f>
        <v>0</v>
      </c>
      <c r="X133" s="42" t="e">
        <f>(T133-O133)/T133</f>
        <v>#DIV/0!</v>
      </c>
      <c r="Y133" s="45">
        <v>96250</v>
      </c>
      <c r="Z133" s="46">
        <f>T133-Y133</f>
        <v>-96250</v>
      </c>
      <c r="AA133" s="47">
        <f>Z133/Y133</f>
        <v>-1</v>
      </c>
      <c r="AB133" s="60"/>
    </row>
    <row r="134" spans="2:77" ht="14.4" customHeight="1">
      <c r="B134" s="4">
        <v>96</v>
      </c>
      <c r="C134" s="38" t="s">
        <v>569</v>
      </c>
      <c r="D134" s="5" t="str">
        <f>REPLACE(C134,1,3, )</f>
        <v xml:space="preserve"> 382</v>
      </c>
      <c r="E134" s="6" t="s">
        <v>569</v>
      </c>
      <c r="F134" s="7">
        <f>IF(C134=E134,0,1)</f>
        <v>0</v>
      </c>
      <c r="G134" s="8" t="s">
        <v>298</v>
      </c>
      <c r="H134" s="8" t="s">
        <v>562</v>
      </c>
      <c r="I134" s="8" t="s">
        <v>567</v>
      </c>
      <c r="J134" s="12"/>
      <c r="K134" s="13">
        <f>J134-M134</f>
        <v>0</v>
      </c>
      <c r="L134" s="7"/>
      <c r="M134" s="14">
        <f>J134-N134</f>
        <v>0</v>
      </c>
      <c r="N134" s="15"/>
      <c r="O134" s="39">
        <f>M134+N134</f>
        <v>0</v>
      </c>
      <c r="P134" s="96"/>
      <c r="Q134" s="3"/>
      <c r="R134" s="36"/>
      <c r="S134" s="36">
        <f>R134+O134</f>
        <v>0</v>
      </c>
      <c r="T134" s="36">
        <f>S134/0.7</f>
        <v>0</v>
      </c>
      <c r="U134" s="40">
        <f>T134/0.875</f>
        <v>0</v>
      </c>
      <c r="V134" s="41" t="e">
        <f>(U134-T134)/U134</f>
        <v>#DIV/0!</v>
      </c>
      <c r="W134" s="40">
        <f>(ROUNDUP((U134/100),0))*100</f>
        <v>0</v>
      </c>
      <c r="X134" s="42" t="e">
        <f>(T134-O134)/T134</f>
        <v>#DIV/0!</v>
      </c>
      <c r="Y134" s="45"/>
      <c r="Z134" s="46"/>
      <c r="AA134" s="47"/>
      <c r="AB134" s="189" t="s">
        <v>1562</v>
      </c>
      <c r="AC134" s="172">
        <v>77654.761904761908</v>
      </c>
      <c r="AD134" s="146">
        <v>76333.333333333328</v>
      </c>
      <c r="AE134" s="147">
        <v>76048</v>
      </c>
      <c r="AF134" s="148">
        <v>1.7311291328758686E-2</v>
      </c>
      <c r="AG134" s="149"/>
      <c r="AH134" s="155">
        <v>56163</v>
      </c>
      <c r="AI134" s="146">
        <v>55810</v>
      </c>
      <c r="AJ134" s="146">
        <v>68705</v>
      </c>
      <c r="AK134" s="151"/>
      <c r="AL134" s="149"/>
      <c r="AM134" s="151"/>
      <c r="AN134" s="151"/>
      <c r="AO134" s="151"/>
      <c r="AP134" s="149"/>
      <c r="AQ134" s="151"/>
      <c r="AR134" s="151"/>
      <c r="AS134" s="151">
        <v>84788</v>
      </c>
      <c r="AT134" s="155">
        <v>70200</v>
      </c>
      <c r="AU134" s="146">
        <v>75027.142857142855</v>
      </c>
      <c r="AV134" s="146">
        <v>81450</v>
      </c>
      <c r="AW134" s="158"/>
      <c r="AX134" s="151"/>
      <c r="AY134" s="151"/>
      <c r="AZ134" s="151"/>
      <c r="BA134" s="155">
        <v>54810</v>
      </c>
      <c r="BB134" s="151"/>
      <c r="BC134" s="151"/>
      <c r="BD134" s="151"/>
      <c r="BE134" s="149"/>
      <c r="BF134" s="151"/>
      <c r="BG134" s="151"/>
      <c r="BH134" s="151"/>
      <c r="BI134" s="149"/>
      <c r="BJ134" s="151"/>
      <c r="BK134" s="151"/>
      <c r="BL134" s="151"/>
      <c r="BM134" s="149"/>
      <c r="BN134" s="146">
        <v>93222.857142857145</v>
      </c>
      <c r="BO134" s="151"/>
      <c r="BP134" s="151"/>
      <c r="BQ134" s="149"/>
      <c r="BR134" s="151"/>
      <c r="BS134" s="151"/>
      <c r="BT134" s="151"/>
      <c r="BU134" s="149"/>
      <c r="BV134" s="151"/>
      <c r="BW134" s="151"/>
      <c r="BX134" s="153"/>
    </row>
    <row r="135" spans="2:77" ht="14.4" customHeight="1">
      <c r="B135" s="4">
        <v>79</v>
      </c>
      <c r="C135" s="5" t="s">
        <v>472</v>
      </c>
      <c r="D135" s="5" t="str">
        <f>REPLACE(C135,1,3, )</f>
        <v xml:space="preserve"> 832</v>
      </c>
      <c r="E135" s="6" t="s">
        <v>472</v>
      </c>
      <c r="F135" s="7">
        <f>IF(C135=E135,0,1)</f>
        <v>0</v>
      </c>
      <c r="G135" s="11" t="s">
        <v>298</v>
      </c>
      <c r="H135" s="11" t="s">
        <v>317</v>
      </c>
      <c r="I135" s="11" t="s">
        <v>350</v>
      </c>
      <c r="J135" s="12"/>
      <c r="K135" s="13">
        <f>J135-M135</f>
        <v>0</v>
      </c>
      <c r="L135" s="7"/>
      <c r="M135" s="14">
        <f>J135-N135</f>
        <v>0</v>
      </c>
      <c r="N135" s="15"/>
      <c r="O135" s="39">
        <f>M135+N135</f>
        <v>0</v>
      </c>
      <c r="P135" s="95"/>
      <c r="Q135" s="3"/>
      <c r="R135" s="36"/>
      <c r="S135" s="36">
        <f>R135+O135</f>
        <v>0</v>
      </c>
      <c r="T135" s="36">
        <f>S135/0.7</f>
        <v>0</v>
      </c>
      <c r="U135" s="40">
        <f>T135/0.875</f>
        <v>0</v>
      </c>
      <c r="V135" s="41" t="e">
        <f>(U135-T135)/U135</f>
        <v>#DIV/0!</v>
      </c>
      <c r="W135" s="40">
        <f>(ROUNDUP((U135/100),0))*100</f>
        <v>0</v>
      </c>
      <c r="X135" s="42" t="e">
        <f>(T135-O135)/T135</f>
        <v>#DIV/0!</v>
      </c>
      <c r="Y135" s="43"/>
      <c r="Z135" s="43"/>
      <c r="AA135" s="43"/>
      <c r="AB135" s="59"/>
    </row>
    <row r="136" spans="2:77" ht="14.4" customHeight="1">
      <c r="B136" s="4">
        <v>80</v>
      </c>
      <c r="C136" s="38" t="s">
        <v>557</v>
      </c>
      <c r="D136" s="5" t="str">
        <f>REPLACE(C136,1,3, )</f>
        <v xml:space="preserve"> 652</v>
      </c>
      <c r="E136" s="6" t="s">
        <v>557</v>
      </c>
      <c r="F136" s="7">
        <f>IF(C136=E136,0,1)</f>
        <v>0</v>
      </c>
      <c r="G136" s="8" t="s">
        <v>20</v>
      </c>
      <c r="H136" s="8" t="s">
        <v>317</v>
      </c>
      <c r="I136" s="8" t="s">
        <v>558</v>
      </c>
      <c r="J136" s="90">
        <v>120000</v>
      </c>
      <c r="K136" s="90">
        <f>J136-M136</f>
        <v>0</v>
      </c>
      <c r="L136" s="103" t="s">
        <v>1428</v>
      </c>
      <c r="M136" s="86">
        <f>J136</f>
        <v>120000</v>
      </c>
      <c r="N136" s="87">
        <f>2000+2850+500+200+200</f>
        <v>5750</v>
      </c>
      <c r="O136" s="101">
        <f>M136+N136</f>
        <v>125750</v>
      </c>
      <c r="P136" s="95"/>
      <c r="Q136" s="88" t="s">
        <v>1420</v>
      </c>
      <c r="R136" s="36"/>
      <c r="S136" s="36">
        <f>R136+O136</f>
        <v>125750</v>
      </c>
      <c r="T136" s="36">
        <f>S136/0.7</f>
        <v>179642.85714285716</v>
      </c>
      <c r="U136" s="40">
        <f>T136/0.875</f>
        <v>205306.12244897962</v>
      </c>
      <c r="V136" s="41">
        <f>(U136-T136)/U136</f>
        <v>0.12500000000000003</v>
      </c>
      <c r="W136" s="40">
        <f>(ROUNDUP((U136/100),0))*100</f>
        <v>205400</v>
      </c>
      <c r="X136" s="42">
        <f>(T136-O136)/T136</f>
        <v>0.30000000000000004</v>
      </c>
      <c r="Y136" s="45">
        <v>179725</v>
      </c>
      <c r="Z136" s="46">
        <f>T136-Y136</f>
        <v>-82.142857142840512</v>
      </c>
      <c r="AA136" s="47">
        <f>Z136/Y136</f>
        <v>-4.5704747332224514E-4</v>
      </c>
      <c r="AB136" s="60"/>
    </row>
    <row r="137" spans="2:77" ht="14.4" customHeight="1">
      <c r="B137" s="4">
        <v>81</v>
      </c>
      <c r="C137" s="5" t="s">
        <v>24</v>
      </c>
      <c r="D137" s="5" t="str">
        <f>REPLACE(C137,1,3, )</f>
        <v xml:space="preserve"> 899</v>
      </c>
      <c r="E137" s="6" t="s">
        <v>24</v>
      </c>
      <c r="F137" s="7">
        <f>IF(C137=E137,0,1)</f>
        <v>0</v>
      </c>
      <c r="G137" s="11" t="s">
        <v>20</v>
      </c>
      <c r="H137" s="11" t="s">
        <v>317</v>
      </c>
      <c r="I137" s="11" t="s">
        <v>350</v>
      </c>
      <c r="J137" s="12">
        <v>140000</v>
      </c>
      <c r="K137" s="13">
        <f>J137-M137</f>
        <v>6000</v>
      </c>
      <c r="L137" s="7" t="s">
        <v>23</v>
      </c>
      <c r="M137" s="14">
        <f>J137-N137</f>
        <v>134000</v>
      </c>
      <c r="N137" s="15">
        <f>2000+200+200+600+3000</f>
        <v>6000</v>
      </c>
      <c r="O137" s="39">
        <f>M137+N137</f>
        <v>140000</v>
      </c>
      <c r="P137" s="95"/>
      <c r="Q137" s="3" t="s">
        <v>413</v>
      </c>
      <c r="R137" s="36"/>
      <c r="S137" s="36">
        <f>R137+O137</f>
        <v>140000</v>
      </c>
      <c r="T137" s="36">
        <f>S137/0.7</f>
        <v>200000</v>
      </c>
      <c r="U137" s="40">
        <f>T137/0.875</f>
        <v>228571.42857142858</v>
      </c>
      <c r="V137" s="41">
        <f>(U137-T137)/U137</f>
        <v>0.12500000000000003</v>
      </c>
      <c r="W137" s="40">
        <f>(ROUNDUP((U137/100),0))*100</f>
        <v>228600</v>
      </c>
      <c r="X137" s="42">
        <f>(T137-O137)/T137</f>
        <v>0.3</v>
      </c>
      <c r="Y137" s="45">
        <v>192150</v>
      </c>
      <c r="Z137" s="46">
        <f>T137-Y137</f>
        <v>7850</v>
      </c>
      <c r="AA137" s="47">
        <f>Z137/Y137</f>
        <v>4.0853499869893312E-2</v>
      </c>
      <c r="AB137" s="60"/>
      <c r="BY137" s="78"/>
    </row>
    <row r="138" spans="2:77" ht="14.4" customHeight="1">
      <c r="B138" s="4">
        <v>82</v>
      </c>
      <c r="C138" s="38" t="s">
        <v>559</v>
      </c>
      <c r="D138" s="5" t="str">
        <f>REPLACE(C138,1,3, )</f>
        <v xml:space="preserve"> 678</v>
      </c>
      <c r="E138" s="6" t="s">
        <v>559</v>
      </c>
      <c r="F138" s="7">
        <f>IF(C138=E138,0,1)</f>
        <v>0</v>
      </c>
      <c r="G138" s="8" t="s">
        <v>20</v>
      </c>
      <c r="H138" s="8" t="s">
        <v>317</v>
      </c>
      <c r="I138" s="8" t="s">
        <v>558</v>
      </c>
      <c r="J138" s="90">
        <v>200000</v>
      </c>
      <c r="K138" s="90">
        <f>J138-M138</f>
        <v>0</v>
      </c>
      <c r="L138" s="103" t="s">
        <v>1428</v>
      </c>
      <c r="M138" s="86">
        <f>J138</f>
        <v>200000</v>
      </c>
      <c r="N138" s="87">
        <f>2000+2850+500+200+200</f>
        <v>5750</v>
      </c>
      <c r="O138" s="101">
        <f>M138+N138</f>
        <v>205750</v>
      </c>
      <c r="P138" s="95"/>
      <c r="Q138" s="88" t="s">
        <v>1420</v>
      </c>
      <c r="R138" s="36"/>
      <c r="S138" s="36">
        <f>R138+O138</f>
        <v>205750</v>
      </c>
      <c r="T138" s="36">
        <f>S138/0.7</f>
        <v>293928.57142857142</v>
      </c>
      <c r="U138" s="40">
        <f>T138/0.875</f>
        <v>335918.36734693876</v>
      </c>
      <c r="V138" s="41">
        <f>(U138-T138)/U138</f>
        <v>0.12499999999999997</v>
      </c>
      <c r="W138" s="40">
        <f>(ROUNDUP((U138/100),0))*100</f>
        <v>336000</v>
      </c>
      <c r="X138" s="42">
        <f>(T138-O138)/T138</f>
        <v>0.3</v>
      </c>
      <c r="Y138" s="45">
        <v>289713</v>
      </c>
      <c r="Z138" s="46">
        <f>T138-Y138</f>
        <v>4215.5714285714203</v>
      </c>
      <c r="AA138" s="47">
        <f>Z138/Y138</f>
        <v>1.4550853529428849E-2</v>
      </c>
      <c r="AB138" s="60"/>
      <c r="BY138" s="78"/>
    </row>
    <row r="139" spans="2:77" ht="14.4" customHeight="1">
      <c r="B139" s="4">
        <v>83</v>
      </c>
      <c r="C139" s="5" t="s">
        <v>206</v>
      </c>
      <c r="D139" s="5" t="str">
        <f>REPLACE(C139,1,3, )</f>
        <v xml:space="preserve"> 902</v>
      </c>
      <c r="E139" s="6" t="s">
        <v>206</v>
      </c>
      <c r="F139" s="7">
        <f>IF(C139=E139,0,1)</f>
        <v>0</v>
      </c>
      <c r="G139" s="11" t="s">
        <v>298</v>
      </c>
      <c r="H139" s="11" t="s">
        <v>317</v>
      </c>
      <c r="I139" s="11" t="s">
        <v>350</v>
      </c>
      <c r="J139" s="12">
        <v>244000</v>
      </c>
      <c r="K139" s="13">
        <f>J139-M139</f>
        <v>6000</v>
      </c>
      <c r="L139" s="7" t="s">
        <v>23</v>
      </c>
      <c r="M139" s="14">
        <f>J139-N139</f>
        <v>238000</v>
      </c>
      <c r="N139" s="15">
        <f>2000+200+200+600+3000</f>
        <v>6000</v>
      </c>
      <c r="O139" s="39">
        <f>M139+N139</f>
        <v>244000</v>
      </c>
      <c r="P139" s="95"/>
      <c r="Q139" s="3" t="s">
        <v>413</v>
      </c>
      <c r="R139" s="36"/>
      <c r="S139" s="36">
        <f>R139+O139</f>
        <v>244000</v>
      </c>
      <c r="T139" s="36">
        <f>S139/0.7</f>
        <v>348571.42857142858</v>
      </c>
      <c r="U139" s="40">
        <f>T139/0.875</f>
        <v>398367.3469387755</v>
      </c>
      <c r="V139" s="41">
        <f>(U139-T139)/U139</f>
        <v>0.12499999999999996</v>
      </c>
      <c r="W139" s="40">
        <f>(ROUNDUP((U139/100),0))*100</f>
        <v>398400</v>
      </c>
      <c r="X139" s="42">
        <f>(T139-O139)/T139</f>
        <v>0.30000000000000004</v>
      </c>
      <c r="Y139" s="43"/>
      <c r="Z139" s="43"/>
      <c r="AA139" s="43"/>
      <c r="AB139" s="59"/>
    </row>
    <row r="140" spans="2:77" ht="14.4" customHeight="1">
      <c r="B140" s="4">
        <v>84</v>
      </c>
      <c r="C140" s="38" t="s">
        <v>560</v>
      </c>
      <c r="D140" s="5" t="str">
        <f>REPLACE(C140,1,3, )</f>
        <v xml:space="preserve"> 173</v>
      </c>
      <c r="E140" s="6" t="s">
        <v>560</v>
      </c>
      <c r="F140" s="7">
        <f>IF(C140=E140,0,1)</f>
        <v>0</v>
      </c>
      <c r="G140" s="8" t="s">
        <v>20</v>
      </c>
      <c r="H140" s="8" t="s">
        <v>317</v>
      </c>
      <c r="I140" s="8" t="s">
        <v>558</v>
      </c>
      <c r="J140" s="90">
        <v>200000</v>
      </c>
      <c r="K140" s="90">
        <f>J140-M140</f>
        <v>0</v>
      </c>
      <c r="L140" s="103" t="s">
        <v>1428</v>
      </c>
      <c r="M140" s="86">
        <f>J140</f>
        <v>200000</v>
      </c>
      <c r="N140" s="87">
        <f>2000+2850+500+200+200</f>
        <v>5750</v>
      </c>
      <c r="O140" s="101">
        <f>M140+N140</f>
        <v>205750</v>
      </c>
      <c r="P140" s="95"/>
      <c r="Q140" s="88" t="s">
        <v>1420</v>
      </c>
      <c r="R140" s="36"/>
      <c r="S140" s="36">
        <f>R140+O140</f>
        <v>205750</v>
      </c>
      <c r="T140" s="36">
        <f>S140/0.7</f>
        <v>293928.57142857142</v>
      </c>
      <c r="U140" s="40">
        <f>T140/0.875</f>
        <v>335918.36734693876</v>
      </c>
      <c r="V140" s="41">
        <f>(U140-T140)/U140</f>
        <v>0.12499999999999997</v>
      </c>
      <c r="W140" s="40">
        <f>(ROUNDUP((U140/100),0))*100</f>
        <v>336000</v>
      </c>
      <c r="X140" s="42">
        <f>(T140-O140)/T140</f>
        <v>0.3</v>
      </c>
      <c r="Y140" s="45">
        <v>289713</v>
      </c>
      <c r="Z140" s="46">
        <f>T140-Y140</f>
        <v>4215.5714285714203</v>
      </c>
      <c r="AA140" s="47">
        <f>Z140/Y140</f>
        <v>1.4550853529428849E-2</v>
      </c>
      <c r="AB140" s="60"/>
    </row>
    <row r="141" spans="2:77" ht="14.4" customHeight="1">
      <c r="B141" s="4">
        <v>85</v>
      </c>
      <c r="C141" s="5" t="s">
        <v>205</v>
      </c>
      <c r="D141" s="5" t="str">
        <f>REPLACE(C141,1,3, )</f>
        <v xml:space="preserve"> 573</v>
      </c>
      <c r="E141" s="6" t="s">
        <v>205</v>
      </c>
      <c r="F141" s="7">
        <f>IF(C141=E141,0,1)</f>
        <v>0</v>
      </c>
      <c r="G141" s="11" t="s">
        <v>298</v>
      </c>
      <c r="H141" s="11" t="s">
        <v>317</v>
      </c>
      <c r="I141" s="11" t="s">
        <v>350</v>
      </c>
      <c r="J141" s="12">
        <v>206000</v>
      </c>
      <c r="K141" s="13">
        <f>J141-M141</f>
        <v>6000</v>
      </c>
      <c r="L141" s="7" t="s">
        <v>23</v>
      </c>
      <c r="M141" s="14">
        <f>J141-N141</f>
        <v>200000</v>
      </c>
      <c r="N141" s="15">
        <f>2000+200+200+600+3000</f>
        <v>6000</v>
      </c>
      <c r="O141" s="39">
        <f>M141+N141</f>
        <v>206000</v>
      </c>
      <c r="P141" s="97"/>
      <c r="Q141" s="3" t="s">
        <v>413</v>
      </c>
      <c r="R141" s="36"/>
      <c r="S141" s="36">
        <f>R141+O141</f>
        <v>206000</v>
      </c>
      <c r="T141" s="36">
        <f>S141/0.7</f>
        <v>294285.71428571432</v>
      </c>
      <c r="U141" s="40">
        <f>T141/0.875</f>
        <v>336326.53061224491</v>
      </c>
      <c r="V141" s="41">
        <f>(U141-T141)/U141</f>
        <v>0.12499999999999993</v>
      </c>
      <c r="W141" s="40">
        <f>(ROUNDUP((U141/100),0))*100</f>
        <v>336400</v>
      </c>
      <c r="X141" s="42">
        <f>(T141-O141)/T141</f>
        <v>0.3000000000000001</v>
      </c>
      <c r="Y141" s="43"/>
      <c r="Z141" s="43"/>
      <c r="AA141" s="43"/>
      <c r="AB141" s="59"/>
      <c r="BY141" s="78"/>
    </row>
    <row r="142" spans="2:77" ht="14.4" customHeight="1">
      <c r="B142" s="4">
        <v>86</v>
      </c>
      <c r="C142" s="5" t="s">
        <v>207</v>
      </c>
      <c r="D142" s="5" t="str">
        <f>REPLACE(C142,1,3, )</f>
        <v xml:space="preserve"> 666</v>
      </c>
      <c r="E142" s="6" t="s">
        <v>207</v>
      </c>
      <c r="F142" s="7">
        <f>IF(C142=E142,0,1)</f>
        <v>0</v>
      </c>
      <c r="G142" s="11" t="s">
        <v>298</v>
      </c>
      <c r="H142" s="11" t="s">
        <v>317</v>
      </c>
      <c r="I142" s="11" t="s">
        <v>350</v>
      </c>
      <c r="J142" s="12">
        <v>214000</v>
      </c>
      <c r="K142" s="13">
        <f>J142-M142</f>
        <v>6000</v>
      </c>
      <c r="L142" s="7" t="s">
        <v>23</v>
      </c>
      <c r="M142" s="14">
        <f>J142-N142</f>
        <v>208000</v>
      </c>
      <c r="N142" s="15">
        <f>2000+200+200+600+3000</f>
        <v>6000</v>
      </c>
      <c r="O142" s="39">
        <f>M142+N142</f>
        <v>214000</v>
      </c>
      <c r="P142" s="95"/>
      <c r="Q142" s="3" t="s">
        <v>413</v>
      </c>
      <c r="R142" s="36"/>
      <c r="S142" s="36">
        <f>R142+O142</f>
        <v>214000</v>
      </c>
      <c r="T142" s="36">
        <f>S142/0.7</f>
        <v>305714.28571428574</v>
      </c>
      <c r="U142" s="40">
        <f>T142/0.875</f>
        <v>349387.75510204083</v>
      </c>
      <c r="V142" s="41">
        <f>(U142-T142)/U142</f>
        <v>0.12499999999999996</v>
      </c>
      <c r="W142" s="40">
        <f>(ROUNDUP((U142/100),0))*100</f>
        <v>349400</v>
      </c>
      <c r="X142" s="42">
        <f>(T142-O142)/T142</f>
        <v>0.30000000000000004</v>
      </c>
      <c r="Y142" s="43"/>
      <c r="Z142" s="43"/>
      <c r="AA142" s="43"/>
      <c r="AB142" s="59"/>
    </row>
    <row r="143" spans="2:77" ht="14.4" customHeight="1">
      <c r="B143" s="4">
        <v>87</v>
      </c>
      <c r="C143" s="5" t="s">
        <v>1349</v>
      </c>
      <c r="D143" s="5" t="str">
        <f>REPLACE(C143,1,3, )</f>
        <v xml:space="preserve"> 151</v>
      </c>
      <c r="E143" s="6" t="s">
        <v>1349</v>
      </c>
      <c r="F143" s="7">
        <f>IF(C143=E143,0,1)</f>
        <v>0</v>
      </c>
      <c r="G143" s="11" t="s">
        <v>298</v>
      </c>
      <c r="H143" s="11" t="s">
        <v>317</v>
      </c>
      <c r="I143" s="11" t="s">
        <v>1350</v>
      </c>
      <c r="J143" s="12">
        <v>130000</v>
      </c>
      <c r="K143" s="13">
        <f>J143-M143</f>
        <v>6000</v>
      </c>
      <c r="L143" s="7"/>
      <c r="M143" s="14">
        <f>J143-N143</f>
        <v>124000</v>
      </c>
      <c r="N143" s="15">
        <f>2000+200+200+600+3000</f>
        <v>6000</v>
      </c>
      <c r="O143" s="39">
        <f>M143+N143</f>
        <v>130000</v>
      </c>
      <c r="P143" s="95"/>
      <c r="Q143" s="77" t="s">
        <v>1360</v>
      </c>
      <c r="R143" s="36"/>
      <c r="S143" s="36">
        <f>R143+O143</f>
        <v>130000</v>
      </c>
      <c r="T143" s="36">
        <f>S143/0.7</f>
        <v>185714.28571428574</v>
      </c>
      <c r="U143" s="40">
        <f>T143/0.875</f>
        <v>212244.8979591837</v>
      </c>
      <c r="V143" s="41">
        <f>(U143-T143)/U143</f>
        <v>0.12499999999999999</v>
      </c>
      <c r="W143" s="40">
        <f>(ROUNDUP((U143/100),0))*100</f>
        <v>212300</v>
      </c>
      <c r="X143" s="42">
        <f>(T143-O143)/T143</f>
        <v>0.3000000000000001</v>
      </c>
      <c r="Y143" s="43"/>
      <c r="Z143" s="43"/>
      <c r="AA143" s="43"/>
      <c r="AB143" s="189" t="s">
        <v>1563</v>
      </c>
      <c r="AC143" s="172">
        <v>205267.85714285716</v>
      </c>
      <c r="AD143" s="146">
        <v>193809.52380952382</v>
      </c>
      <c r="AE143" s="147">
        <v>176286</v>
      </c>
      <c r="AF143" s="191">
        <v>5.912162162162167E-2</v>
      </c>
      <c r="AG143" s="149">
        <v>186222</v>
      </c>
      <c r="AH143" s="150">
        <v>185017</v>
      </c>
      <c r="AI143" s="146">
        <v>199835</v>
      </c>
      <c r="AJ143" s="146">
        <v>174539</v>
      </c>
      <c r="AK143" s="151"/>
      <c r="AL143" s="149"/>
      <c r="AM143" s="151"/>
      <c r="AN143" s="151"/>
      <c r="AO143" s="151"/>
      <c r="AP143" s="149"/>
      <c r="AQ143" s="151"/>
      <c r="AR143" s="151"/>
      <c r="AS143" s="151">
        <v>188955</v>
      </c>
      <c r="AT143" s="155">
        <v>169425</v>
      </c>
      <c r="AU143" s="146">
        <v>182700</v>
      </c>
      <c r="AV143" s="146">
        <v>172800</v>
      </c>
      <c r="AW143" s="158"/>
      <c r="AX143" s="151"/>
      <c r="AY143" s="151"/>
      <c r="AZ143" s="151">
        <v>185256</v>
      </c>
      <c r="BA143" s="155">
        <v>183126</v>
      </c>
      <c r="BB143" s="146">
        <v>166320</v>
      </c>
      <c r="BC143" s="146">
        <v>169309</v>
      </c>
      <c r="BD143" s="151"/>
      <c r="BE143" s="149"/>
      <c r="BF143" s="151"/>
      <c r="BG143" s="151"/>
      <c r="BH143" s="151">
        <v>202000</v>
      </c>
      <c r="BI143" s="156">
        <v>208749</v>
      </c>
      <c r="BJ143" s="151"/>
      <c r="BK143" s="146">
        <v>199000</v>
      </c>
      <c r="BL143" s="151"/>
      <c r="BM143" s="149"/>
      <c r="BN143" s="146">
        <v>216304.28571428574</v>
      </c>
      <c r="BO143" s="146">
        <v>168960</v>
      </c>
      <c r="BP143" s="151"/>
      <c r="BQ143" s="158"/>
      <c r="BR143" s="151"/>
      <c r="BS143" s="151"/>
      <c r="BT143" s="151"/>
      <c r="BU143" s="149"/>
      <c r="BV143" s="151"/>
      <c r="BW143" s="151"/>
      <c r="BX143" s="153"/>
    </row>
    <row r="144" spans="2:77" ht="14.4" customHeight="1">
      <c r="B144" s="4">
        <v>10</v>
      </c>
      <c r="C144" s="5" t="s">
        <v>498</v>
      </c>
      <c r="D144" s="5" t="str">
        <f>REPLACE(C144,1,3, )</f>
        <v xml:space="preserve"> 915</v>
      </c>
      <c r="E144" s="6" t="s">
        <v>498</v>
      </c>
      <c r="F144" s="7">
        <f>IF(C144=E144,0,1)</f>
        <v>0</v>
      </c>
      <c r="G144" s="8" t="s">
        <v>20</v>
      </c>
      <c r="H144" s="8" t="s">
        <v>486</v>
      </c>
      <c r="I144" s="8" t="s">
        <v>499</v>
      </c>
      <c r="J144" s="12">
        <f>M144</f>
        <v>70000</v>
      </c>
      <c r="K144" s="13">
        <f>J144-M144</f>
        <v>0</v>
      </c>
      <c r="L144" s="17" t="s">
        <v>22</v>
      </c>
      <c r="M144" s="18">
        <v>70000</v>
      </c>
      <c r="N144" s="15">
        <f>2000+200+350+600+800</f>
        <v>3950</v>
      </c>
      <c r="O144" s="39">
        <f>M144+N144</f>
        <v>73950</v>
      </c>
      <c r="P144" s="95"/>
      <c r="Q144" s="77" t="s">
        <v>1367</v>
      </c>
      <c r="R144" s="36"/>
      <c r="S144" s="36">
        <f>R144+O144</f>
        <v>73950</v>
      </c>
      <c r="T144" s="36">
        <f>S144/0.7</f>
        <v>105642.85714285714</v>
      </c>
      <c r="U144" s="40">
        <f>T144/0.875</f>
        <v>120734.69387755102</v>
      </c>
      <c r="V144" s="41">
        <f>(U144-T144)/U144</f>
        <v>0.12499999999999999</v>
      </c>
      <c r="W144" s="40">
        <f>(ROUNDUP((U144/100),0))*100</f>
        <v>120800</v>
      </c>
      <c r="X144" s="42">
        <f>(T144-O144)/T144</f>
        <v>0.3</v>
      </c>
      <c r="Y144" s="45">
        <v>107360</v>
      </c>
      <c r="Z144" s="46">
        <f>T144-Y144</f>
        <v>-1717.1428571428551</v>
      </c>
      <c r="AA144" s="47">
        <f>Z144/Y144</f>
        <v>-1.5994251649989334E-2</v>
      </c>
      <c r="AB144" s="60"/>
    </row>
    <row r="145" spans="2:77" ht="14.4" customHeight="1">
      <c r="B145" s="4">
        <v>17</v>
      </c>
      <c r="C145" s="38" t="s">
        <v>506</v>
      </c>
      <c r="D145" s="5" t="str">
        <f>REPLACE(C145,1,3, )</f>
        <v xml:space="preserve"> 893</v>
      </c>
      <c r="E145" s="6" t="s">
        <v>506</v>
      </c>
      <c r="F145" s="7">
        <f>IF(C145=E145,0,1)</f>
        <v>0</v>
      </c>
      <c r="G145" s="8" t="s">
        <v>20</v>
      </c>
      <c r="H145" s="8" t="s">
        <v>486</v>
      </c>
      <c r="I145" s="8" t="s">
        <v>491</v>
      </c>
      <c r="J145" s="12"/>
      <c r="K145" s="13">
        <f>J145-M145</f>
        <v>0</v>
      </c>
      <c r="L145" s="7"/>
      <c r="M145" s="14">
        <f>J145-N145</f>
        <v>0</v>
      </c>
      <c r="N145" s="14"/>
      <c r="O145" s="39">
        <f>M145+N145</f>
        <v>0</v>
      </c>
      <c r="P145" s="95"/>
      <c r="Q145" s="3"/>
      <c r="R145" s="36"/>
      <c r="S145" s="36">
        <f>R145+O145</f>
        <v>0</v>
      </c>
      <c r="T145" s="36">
        <f>S145/0.7</f>
        <v>0</v>
      </c>
      <c r="U145" s="40">
        <f>T145/0.875</f>
        <v>0</v>
      </c>
      <c r="V145" s="41" t="e">
        <f>(U145-T145)/U145</f>
        <v>#DIV/0!</v>
      </c>
      <c r="W145" s="40">
        <f>(ROUNDUP((U145/100),0))*100</f>
        <v>0</v>
      </c>
      <c r="X145" s="42" t="e">
        <f>(T145-O145)/T145</f>
        <v>#DIV/0!</v>
      </c>
      <c r="Y145" s="45">
        <v>98613</v>
      </c>
      <c r="Z145" s="46">
        <f>T145-Y145</f>
        <v>-98613</v>
      </c>
      <c r="AA145" s="47">
        <f>Z145/Y145</f>
        <v>-1</v>
      </c>
      <c r="AB145" s="60"/>
    </row>
    <row r="146" spans="2:77" ht="14.4" customHeight="1">
      <c r="B146" s="4">
        <v>19</v>
      </c>
      <c r="C146" s="38" t="s">
        <v>508</v>
      </c>
      <c r="D146" s="5" t="str">
        <f>REPLACE(C146,1,3, )</f>
        <v xml:space="preserve"> 591</v>
      </c>
      <c r="E146" s="6" t="s">
        <v>508</v>
      </c>
      <c r="F146" s="7">
        <f>IF(C146=E146,0,1)</f>
        <v>0</v>
      </c>
      <c r="G146" s="8" t="s">
        <v>20</v>
      </c>
      <c r="H146" s="8" t="s">
        <v>486</v>
      </c>
      <c r="I146" s="8" t="s">
        <v>491</v>
      </c>
      <c r="J146" s="12"/>
      <c r="K146" s="13">
        <f>J146-M146</f>
        <v>0</v>
      </c>
      <c r="L146" s="7"/>
      <c r="M146" s="14">
        <f>J146-N146</f>
        <v>0</v>
      </c>
      <c r="N146" s="14"/>
      <c r="O146" s="39">
        <f>M146+N146</f>
        <v>0</v>
      </c>
      <c r="P146" s="95"/>
      <c r="Q146" s="3"/>
      <c r="R146" s="36"/>
      <c r="S146" s="36">
        <f>R146+O146</f>
        <v>0</v>
      </c>
      <c r="T146" s="36">
        <f>S146/0.7</f>
        <v>0</v>
      </c>
      <c r="U146" s="40">
        <f>T146/0.875</f>
        <v>0</v>
      </c>
      <c r="V146" s="41" t="e">
        <f>(U146-T146)/U146</f>
        <v>#DIV/0!</v>
      </c>
      <c r="W146" s="40">
        <f>(ROUNDUP((U146/100),0))*100</f>
        <v>0</v>
      </c>
      <c r="X146" s="42" t="e">
        <f>(T146-O146)/T146</f>
        <v>#DIV/0!</v>
      </c>
      <c r="Y146" s="45">
        <v>112875</v>
      </c>
      <c r="Z146" s="46">
        <f>T146-Y146</f>
        <v>-112875</v>
      </c>
      <c r="AA146" s="47">
        <f>Z146/Y146</f>
        <v>-1</v>
      </c>
      <c r="AB146" s="60"/>
    </row>
    <row r="147" spans="2:77" ht="14.4" customHeight="1">
      <c r="B147" s="4">
        <v>23</v>
      </c>
      <c r="C147" s="38" t="s">
        <v>514</v>
      </c>
      <c r="D147" s="5" t="str">
        <f>REPLACE(C147,1,3, )</f>
        <v xml:space="preserve"> 268</v>
      </c>
      <c r="E147" s="6" t="s">
        <v>514</v>
      </c>
      <c r="F147" s="7">
        <f>IF(C147=E147,0,1)</f>
        <v>0</v>
      </c>
      <c r="G147" s="8" t="s">
        <v>298</v>
      </c>
      <c r="H147" s="8" t="s">
        <v>486</v>
      </c>
      <c r="I147" s="8" t="s">
        <v>515</v>
      </c>
      <c r="J147" s="12">
        <v>68000</v>
      </c>
      <c r="K147" s="13">
        <f>J147-M147</f>
        <v>3950</v>
      </c>
      <c r="L147" s="7" t="s">
        <v>23</v>
      </c>
      <c r="M147" s="14">
        <f>J147-N147</f>
        <v>64050</v>
      </c>
      <c r="N147" s="14">
        <f>2000+200+350+600+800</f>
        <v>3950</v>
      </c>
      <c r="O147" s="39">
        <f>M147+N147</f>
        <v>68000</v>
      </c>
      <c r="P147" s="95"/>
      <c r="Q147" s="88" t="s">
        <v>1422</v>
      </c>
      <c r="R147" s="36"/>
      <c r="S147" s="36">
        <f>R147+O147</f>
        <v>68000</v>
      </c>
      <c r="T147" s="36">
        <f>S147/0.7</f>
        <v>97142.857142857145</v>
      </c>
      <c r="U147" s="40">
        <f>T147/0.875</f>
        <v>111020.40816326531</v>
      </c>
      <c r="V147" s="41">
        <f>(U147-T147)/U147</f>
        <v>0.12500000000000003</v>
      </c>
      <c r="W147" s="40">
        <f>(ROUNDUP((U147/100),0))*100</f>
        <v>111100</v>
      </c>
      <c r="X147" s="42">
        <f>(T147-O147)/T147</f>
        <v>0.3</v>
      </c>
      <c r="Y147" s="43"/>
      <c r="Z147" s="43"/>
      <c r="AA147" s="44"/>
      <c r="AB147" s="60"/>
      <c r="BY147" s="78"/>
    </row>
    <row r="148" spans="2:77" ht="14.4" customHeight="1">
      <c r="B148" s="4">
        <v>41</v>
      </c>
      <c r="C148" s="38" t="s">
        <v>528</v>
      </c>
      <c r="D148" s="5" t="str">
        <f>REPLACE(C148,1,3, )</f>
        <v xml:space="preserve"> 839</v>
      </c>
      <c r="E148" s="6" t="s">
        <v>528</v>
      </c>
      <c r="F148" s="7">
        <f>IF(C148=E148,0,1)</f>
        <v>0</v>
      </c>
      <c r="G148" s="8" t="s">
        <v>20</v>
      </c>
      <c r="H148" s="8" t="s">
        <v>486</v>
      </c>
      <c r="I148" s="8" t="s">
        <v>491</v>
      </c>
      <c r="J148" s="12"/>
      <c r="K148" s="13">
        <f>J148-M148</f>
        <v>0</v>
      </c>
      <c r="L148" s="7"/>
      <c r="M148" s="14">
        <f>J148-N148</f>
        <v>0</v>
      </c>
      <c r="N148" s="14"/>
      <c r="O148" s="39">
        <f>M148+N148</f>
        <v>0</v>
      </c>
      <c r="P148" s="95"/>
      <c r="Q148" s="3"/>
      <c r="R148" s="36"/>
      <c r="S148" s="36">
        <f>R148+O148</f>
        <v>0</v>
      </c>
      <c r="T148" s="36">
        <f>S148/0.7</f>
        <v>0</v>
      </c>
      <c r="U148" s="40">
        <f>T148/0.875</f>
        <v>0</v>
      </c>
      <c r="V148" s="41" t="e">
        <f>(U148-T148)/U148</f>
        <v>#DIV/0!</v>
      </c>
      <c r="W148" s="40">
        <f>(ROUNDUP((U148/100),0))*100</f>
        <v>0</v>
      </c>
      <c r="X148" s="42" t="e">
        <f>(T148-O148)/T148</f>
        <v>#DIV/0!</v>
      </c>
      <c r="Y148" s="45">
        <v>132913</v>
      </c>
      <c r="Z148" s="46">
        <f>T148-Y148</f>
        <v>-132913</v>
      </c>
      <c r="AA148" s="47">
        <f>Z148/Y148</f>
        <v>-1</v>
      </c>
      <c r="AB148" s="60"/>
    </row>
    <row r="149" spans="2:77" ht="14.4" customHeight="1">
      <c r="B149" s="4">
        <v>26</v>
      </c>
      <c r="C149" s="5" t="s">
        <v>191</v>
      </c>
      <c r="D149" s="5" t="str">
        <f>REPLACE(C149,1,3, )</f>
        <v xml:space="preserve"> 987</v>
      </c>
      <c r="E149" s="6" t="s">
        <v>191</v>
      </c>
      <c r="F149" s="7">
        <f>IF(C149=E149,0,1)</f>
        <v>0</v>
      </c>
      <c r="G149" s="11" t="s">
        <v>298</v>
      </c>
      <c r="H149" s="11" t="s">
        <v>1520</v>
      </c>
      <c r="I149" s="11" t="s">
        <v>345</v>
      </c>
      <c r="J149" s="12">
        <v>72000</v>
      </c>
      <c r="K149" s="13">
        <f>J149-M149</f>
        <v>3900</v>
      </c>
      <c r="L149" s="7" t="s">
        <v>23</v>
      </c>
      <c r="M149" s="14">
        <f>J149-N149</f>
        <v>68100</v>
      </c>
      <c r="N149" s="15">
        <f>2000+200+350+600+750</f>
        <v>3900</v>
      </c>
      <c r="O149" s="39">
        <f>M149+N149</f>
        <v>72000</v>
      </c>
      <c r="P149" s="95"/>
      <c r="Q149" s="3" t="s">
        <v>404</v>
      </c>
      <c r="R149" s="36"/>
      <c r="S149" s="36">
        <f>R149+O149</f>
        <v>72000</v>
      </c>
      <c r="T149" s="36">
        <f>S149/0.7</f>
        <v>102857.14285714287</v>
      </c>
      <c r="U149" s="40">
        <f>T149/0.875</f>
        <v>117551.02040816328</v>
      </c>
      <c r="V149" s="41">
        <f>(U149-T149)/U149</f>
        <v>0.12500000000000003</v>
      </c>
      <c r="W149" s="40">
        <f>(ROUNDUP((U149/100),0))*100</f>
        <v>117600</v>
      </c>
      <c r="X149" s="42">
        <f>(T149-O149)/T149</f>
        <v>0.3000000000000001</v>
      </c>
      <c r="Y149" s="43"/>
      <c r="Z149" s="43"/>
      <c r="AA149" s="43"/>
      <c r="AB149" s="189" t="s">
        <v>1564</v>
      </c>
      <c r="AC149" s="165">
        <v>105528.57142857143</v>
      </c>
      <c r="AD149" s="147">
        <v>99865.079365079364</v>
      </c>
      <c r="AE149" s="147">
        <v>93833</v>
      </c>
      <c r="AF149" s="152"/>
      <c r="AG149" s="149"/>
      <c r="AH149" s="149"/>
      <c r="AI149" s="151"/>
      <c r="AJ149" s="151"/>
      <c r="AK149" s="151"/>
      <c r="AL149" s="149"/>
      <c r="AM149" s="151"/>
      <c r="AN149" s="147">
        <v>89566</v>
      </c>
      <c r="AO149" s="154">
        <v>117275</v>
      </c>
      <c r="AP149" s="156">
        <v>110362</v>
      </c>
      <c r="AQ149" s="147">
        <v>104025.71428571429</v>
      </c>
      <c r="AR149" s="147">
        <v>104025</v>
      </c>
      <c r="AS149" s="154">
        <v>108658</v>
      </c>
      <c r="AT149" s="192">
        <v>153000</v>
      </c>
      <c r="AU149" s="147">
        <v>126225.71428571429</v>
      </c>
      <c r="AV149" s="147">
        <v>102900</v>
      </c>
      <c r="AW149" s="149"/>
      <c r="AX149" s="151"/>
      <c r="AY149" s="151"/>
      <c r="AZ149" s="151">
        <v>105186</v>
      </c>
      <c r="BA149" s="193">
        <v>102060</v>
      </c>
      <c r="BB149" s="151"/>
      <c r="BC149" s="147">
        <v>84371</v>
      </c>
      <c r="BD149" s="154"/>
      <c r="BE149" s="149"/>
      <c r="BF149" s="151"/>
      <c r="BG149" s="151"/>
      <c r="BH149" s="151">
        <v>125500</v>
      </c>
      <c r="BI149" s="149"/>
      <c r="BJ149" s="147">
        <v>110800</v>
      </c>
      <c r="BK149" s="147">
        <v>105667</v>
      </c>
      <c r="BL149" s="154"/>
      <c r="BM149" s="149"/>
      <c r="BN149" s="151"/>
      <c r="BO149" s="151"/>
      <c r="BP149" s="151"/>
      <c r="BQ149" s="149"/>
      <c r="BR149" s="151"/>
      <c r="BS149" s="151"/>
      <c r="BT149" s="151"/>
      <c r="BU149" s="149"/>
      <c r="BV149" s="151"/>
      <c r="BW149" s="151"/>
      <c r="BX149" s="153"/>
    </row>
    <row r="150" spans="2:77" ht="14.4" customHeight="1">
      <c r="B150" s="4">
        <v>38</v>
      </c>
      <c r="C150" s="38" t="s">
        <v>532</v>
      </c>
      <c r="D150" s="5" t="str">
        <f>REPLACE(C150,1,3, )</f>
        <v xml:space="preserve"> 338</v>
      </c>
      <c r="E150" s="6" t="s">
        <v>532</v>
      </c>
      <c r="F150" s="7">
        <f>IF(C150=E150,0,1)</f>
        <v>0</v>
      </c>
      <c r="G150" s="8" t="s">
        <v>298</v>
      </c>
      <c r="H150" s="8" t="s">
        <v>1519</v>
      </c>
      <c r="I150" s="8" t="s">
        <v>491</v>
      </c>
      <c r="J150" s="12"/>
      <c r="K150" s="13">
        <f>J150-M150</f>
        <v>0</v>
      </c>
      <c r="L150" s="7"/>
      <c r="M150" s="14">
        <f>J150-N150</f>
        <v>0</v>
      </c>
      <c r="N150" s="15"/>
      <c r="O150" s="39">
        <f>M150+N150</f>
        <v>0</v>
      </c>
      <c r="P150" s="95"/>
      <c r="Q150" s="3"/>
      <c r="R150" s="36"/>
      <c r="S150" s="36">
        <f>R150+O150</f>
        <v>0</v>
      </c>
      <c r="T150" s="36">
        <f>S150/0.7</f>
        <v>0</v>
      </c>
      <c r="U150" s="40">
        <f>T150/0.875</f>
        <v>0</v>
      </c>
      <c r="V150" s="41" t="e">
        <f>(U150-T150)/U150</f>
        <v>#DIV/0!</v>
      </c>
      <c r="W150" s="40">
        <f>(ROUNDUP((U150/100),0))*100</f>
        <v>0</v>
      </c>
      <c r="X150" s="42" t="e">
        <f>(T150-O150)/T150</f>
        <v>#DIV/0!</v>
      </c>
      <c r="Y150" s="43"/>
      <c r="Z150" s="43"/>
      <c r="AA150" s="43"/>
      <c r="AB150" s="59"/>
    </row>
    <row r="151" spans="2:77" ht="14.4" customHeight="1">
      <c r="B151" s="4">
        <v>39</v>
      </c>
      <c r="C151" s="5" t="s">
        <v>468</v>
      </c>
      <c r="D151" s="5" t="str">
        <f>REPLACE(C151,1,3, )</f>
        <v xml:space="preserve"> 549</v>
      </c>
      <c r="E151" s="6" t="s">
        <v>468</v>
      </c>
      <c r="F151" s="7">
        <f>IF(C151=E151,0,1)</f>
        <v>0</v>
      </c>
      <c r="G151" s="11" t="s">
        <v>298</v>
      </c>
      <c r="H151" s="8" t="s">
        <v>1519</v>
      </c>
      <c r="I151" s="11" t="s">
        <v>330</v>
      </c>
      <c r="J151" s="12">
        <v>0</v>
      </c>
      <c r="K151" s="13">
        <f>J151-M151</f>
        <v>0</v>
      </c>
      <c r="L151" s="7" t="s">
        <v>469</v>
      </c>
      <c r="M151" s="14">
        <f>J151-N151</f>
        <v>0</v>
      </c>
      <c r="N151" s="14">
        <v>0</v>
      </c>
      <c r="O151" s="39">
        <f>M151+N151</f>
        <v>0</v>
      </c>
      <c r="P151" s="95"/>
      <c r="Q151" s="3"/>
      <c r="R151" s="36"/>
      <c r="S151" s="36">
        <f>R151+O151</f>
        <v>0</v>
      </c>
      <c r="T151" s="36">
        <f>S151/0.7</f>
        <v>0</v>
      </c>
      <c r="U151" s="40">
        <f>T151/0.875</f>
        <v>0</v>
      </c>
      <c r="V151" s="41" t="e">
        <f>(U151-T151)/U151</f>
        <v>#DIV/0!</v>
      </c>
      <c r="W151" s="40">
        <f>(ROUNDUP((U151/100),0))*100</f>
        <v>0</v>
      </c>
      <c r="X151" s="42" t="e">
        <f>(T151-O151)/T151</f>
        <v>#DIV/0!</v>
      </c>
      <c r="Y151" s="43"/>
      <c r="Z151" s="43"/>
      <c r="AA151" s="44"/>
      <c r="AB151" s="60"/>
    </row>
    <row r="152" spans="2:77" ht="14.4" customHeight="1">
      <c r="B152" s="4">
        <v>40</v>
      </c>
      <c r="C152" s="38" t="s">
        <v>527</v>
      </c>
      <c r="D152" s="5" t="str">
        <f>REPLACE(C152,1,3, )</f>
        <v xml:space="preserve"> 514</v>
      </c>
      <c r="E152" s="6" t="s">
        <v>527</v>
      </c>
      <c r="F152" s="7">
        <f>IF(C152=E152,0,1)</f>
        <v>0</v>
      </c>
      <c r="G152" s="8" t="s">
        <v>20</v>
      </c>
      <c r="H152" s="8" t="s">
        <v>1519</v>
      </c>
      <c r="I152" s="8" t="s">
        <v>491</v>
      </c>
      <c r="J152" s="12"/>
      <c r="K152" s="13">
        <f>J152-M152</f>
        <v>0</v>
      </c>
      <c r="L152" s="7"/>
      <c r="M152" s="14">
        <f>J152-N152</f>
        <v>0</v>
      </c>
      <c r="N152" s="14"/>
      <c r="O152" s="39">
        <f>M152+N152</f>
        <v>0</v>
      </c>
      <c r="P152" s="95"/>
      <c r="Q152" s="3"/>
      <c r="R152" s="36"/>
      <c r="S152" s="36">
        <f>R152+O152</f>
        <v>0</v>
      </c>
      <c r="T152" s="36">
        <f>S152/0.7</f>
        <v>0</v>
      </c>
      <c r="U152" s="40">
        <f>T152/0.875</f>
        <v>0</v>
      </c>
      <c r="V152" s="41" t="e">
        <f>(U152-T152)/U152</f>
        <v>#DIV/0!</v>
      </c>
      <c r="W152" s="40">
        <f>(ROUNDUP((U152/100),0))*100</f>
        <v>0</v>
      </c>
      <c r="X152" s="42" t="e">
        <f>(T152-O152)/T152</f>
        <v>#DIV/0!</v>
      </c>
      <c r="Y152" s="45">
        <v>125738</v>
      </c>
      <c r="Z152" s="46">
        <f>T152-Y152</f>
        <v>-125738</v>
      </c>
      <c r="AA152" s="47">
        <f>Z152/Y152</f>
        <v>-1</v>
      </c>
      <c r="AB152" s="60"/>
    </row>
    <row r="153" spans="2:77" ht="14.4" customHeight="1">
      <c r="B153" s="4">
        <v>42</v>
      </c>
      <c r="C153" s="38" t="s">
        <v>529</v>
      </c>
      <c r="D153" s="5" t="str">
        <f>REPLACE(C153,1,3, )</f>
        <v xml:space="preserve"> 721</v>
      </c>
      <c r="E153" s="6" t="s">
        <v>529</v>
      </c>
      <c r="F153" s="7">
        <f>IF(C153=E153,0,1)</f>
        <v>0</v>
      </c>
      <c r="G153" s="8" t="s">
        <v>20</v>
      </c>
      <c r="H153" s="8" t="s">
        <v>1519</v>
      </c>
      <c r="I153" s="8" t="s">
        <v>491</v>
      </c>
      <c r="J153" s="12"/>
      <c r="K153" s="13">
        <f>J153-M153</f>
        <v>0</v>
      </c>
      <c r="L153" s="7"/>
      <c r="M153" s="14">
        <f>J153-N153</f>
        <v>0</v>
      </c>
      <c r="N153" s="14"/>
      <c r="O153" s="39">
        <f>M153+N153</f>
        <v>0</v>
      </c>
      <c r="P153" s="95"/>
      <c r="Q153" s="3"/>
      <c r="R153" s="36"/>
      <c r="S153" s="36">
        <f>R153+O153</f>
        <v>0</v>
      </c>
      <c r="T153" s="36">
        <f>S153/0.7</f>
        <v>0</v>
      </c>
      <c r="U153" s="40">
        <f>T153/0.875</f>
        <v>0</v>
      </c>
      <c r="V153" s="41" t="e">
        <f>(U153-T153)/U153</f>
        <v>#DIV/0!</v>
      </c>
      <c r="W153" s="40">
        <f>(ROUNDUP((U153/100),0))*100</f>
        <v>0</v>
      </c>
      <c r="X153" s="42" t="e">
        <f>(T153-O153)/T153</f>
        <v>#DIV/0!</v>
      </c>
      <c r="Y153" s="45">
        <v>194900</v>
      </c>
      <c r="Z153" s="46">
        <f>T153-Y153</f>
        <v>-194900</v>
      </c>
      <c r="AA153" s="47">
        <f>Z153/Y153</f>
        <v>-1</v>
      </c>
      <c r="AB153" s="189" t="s">
        <v>1565</v>
      </c>
      <c r="AC153" s="160">
        <v>130408.16326530614</v>
      </c>
      <c r="AD153" s="194">
        <v>127142.85714285716</v>
      </c>
      <c r="AE153" s="146">
        <v>113571</v>
      </c>
      <c r="AF153" s="148">
        <v>2.5682182985553765E-2</v>
      </c>
      <c r="AG153" s="149">
        <v>125500</v>
      </c>
      <c r="AH153" s="149"/>
      <c r="AI153" s="151"/>
      <c r="AJ153" s="151"/>
      <c r="AK153" s="151"/>
      <c r="AL153" s="149">
        <v>0</v>
      </c>
      <c r="AM153" s="151"/>
      <c r="AN153" s="147">
        <v>115600</v>
      </c>
      <c r="AO153" s="154"/>
      <c r="AP153" s="149"/>
      <c r="AQ153" s="147">
        <v>119250.00000000001</v>
      </c>
      <c r="AR153" s="151"/>
      <c r="AS153" s="151"/>
      <c r="AT153" s="149"/>
      <c r="AU153" s="151"/>
      <c r="AV153" s="151"/>
      <c r="AW153" s="149"/>
      <c r="AX153" s="151"/>
      <c r="AY153" s="151"/>
      <c r="AZ153" s="151"/>
      <c r="BA153" s="149"/>
      <c r="BB153" s="151"/>
      <c r="BC153" s="147">
        <v>91044</v>
      </c>
      <c r="BD153" s="154"/>
      <c r="BE153" s="149"/>
      <c r="BF153" s="151"/>
      <c r="BG153" s="151"/>
      <c r="BH153" s="151">
        <v>111500</v>
      </c>
      <c r="BI153" s="149"/>
      <c r="BJ153" s="146">
        <v>117332.85714285714</v>
      </c>
      <c r="BK153" s="146">
        <v>112333</v>
      </c>
      <c r="BL153" s="151"/>
      <c r="BM153" s="158"/>
      <c r="BN153" s="151"/>
      <c r="BO153" s="151"/>
      <c r="BP153" s="151"/>
      <c r="BQ153" s="149"/>
      <c r="BR153" s="151"/>
      <c r="BS153" s="151"/>
      <c r="BT153" s="151"/>
      <c r="BU153" s="149"/>
      <c r="BV153" s="151"/>
      <c r="BW153" s="151"/>
      <c r="BX153" s="153"/>
    </row>
    <row r="154" spans="2:77" ht="14.4" customHeight="1">
      <c r="B154" s="4">
        <v>2</v>
      </c>
      <c r="C154" s="38" t="s">
        <v>485</v>
      </c>
      <c r="D154" s="5" t="str">
        <f>REPLACE(C154,1,3, )</f>
        <v xml:space="preserve"> 537</v>
      </c>
      <c r="E154" s="6" t="s">
        <v>485</v>
      </c>
      <c r="F154" s="7">
        <f>IF(C154=E154,0,1)</f>
        <v>0</v>
      </c>
      <c r="G154" s="8" t="s">
        <v>298</v>
      </c>
      <c r="H154" s="8" t="s">
        <v>1518</v>
      </c>
      <c r="I154" s="8" t="s">
        <v>487</v>
      </c>
      <c r="J154" s="9"/>
      <c r="K154" s="13">
        <f>J154-M154</f>
        <v>0</v>
      </c>
      <c r="L154" s="4"/>
      <c r="M154" s="14">
        <f>J154-N154</f>
        <v>0</v>
      </c>
      <c r="N154" s="10"/>
      <c r="O154" s="39">
        <f>M154+N154</f>
        <v>0</v>
      </c>
      <c r="P154" s="94"/>
      <c r="Q154" s="102"/>
      <c r="R154" s="36"/>
      <c r="S154" s="36">
        <f>R154+O154</f>
        <v>0</v>
      </c>
      <c r="T154" s="36">
        <f>S154/0.7</f>
        <v>0</v>
      </c>
      <c r="U154" s="40">
        <f>T154/0.875</f>
        <v>0</v>
      </c>
      <c r="V154" s="41" t="e">
        <f>(U154-T154)/U154</f>
        <v>#DIV/0!</v>
      </c>
      <c r="W154" s="40">
        <f>(ROUNDUP((U154/100),0))*100</f>
        <v>0</v>
      </c>
      <c r="X154" s="42" t="e">
        <f>(T154-O154)/T154</f>
        <v>#DIV/0!</v>
      </c>
      <c r="Y154" s="37"/>
      <c r="Z154" s="37"/>
      <c r="AA154" s="37"/>
    </row>
    <row r="155" spans="2:77" ht="14.4" customHeight="1">
      <c r="B155" s="4">
        <v>4</v>
      </c>
      <c r="C155" s="38" t="s">
        <v>490</v>
      </c>
      <c r="D155" s="5" t="str">
        <f>REPLACE(C155,1,3, )</f>
        <v xml:space="preserve"> 149</v>
      </c>
      <c r="E155" s="6" t="s">
        <v>490</v>
      </c>
      <c r="F155" s="7">
        <f>IF(C155=E155,0,1)</f>
        <v>0</v>
      </c>
      <c r="G155" s="8" t="s">
        <v>298</v>
      </c>
      <c r="H155" s="8" t="s">
        <v>1518</v>
      </c>
      <c r="I155" s="8" t="s">
        <v>491</v>
      </c>
      <c r="J155" s="9"/>
      <c r="K155" s="13">
        <f>J155-M155</f>
        <v>0</v>
      </c>
      <c r="L155" s="4"/>
      <c r="M155" s="14">
        <f>J155-N155</f>
        <v>0</v>
      </c>
      <c r="N155" s="10"/>
      <c r="O155" s="39">
        <f>M155+N155</f>
        <v>0</v>
      </c>
      <c r="P155" s="94"/>
      <c r="Q155" s="102"/>
      <c r="R155" s="36"/>
      <c r="S155" s="36">
        <f>R155+O155</f>
        <v>0</v>
      </c>
      <c r="T155" s="36">
        <f>S155/0.7</f>
        <v>0</v>
      </c>
      <c r="U155" s="40">
        <f>T155/0.875</f>
        <v>0</v>
      </c>
      <c r="V155" s="41" t="e">
        <f>(U155-T155)/U155</f>
        <v>#DIV/0!</v>
      </c>
      <c r="W155" s="40">
        <f>(ROUNDUP((U155/100),0))*100</f>
        <v>0</v>
      </c>
      <c r="X155" s="42" t="e">
        <f>(T155-O155)/T155</f>
        <v>#DIV/0!</v>
      </c>
      <c r="Y155" s="37"/>
      <c r="Z155" s="37"/>
      <c r="AA155" s="37"/>
    </row>
    <row r="156" spans="2:77" ht="14.4" customHeight="1">
      <c r="B156" s="4">
        <v>5</v>
      </c>
      <c r="C156" s="38" t="s">
        <v>497</v>
      </c>
      <c r="D156" s="5" t="str">
        <f>REPLACE(C156,1,3, )</f>
        <v xml:space="preserve"> 236</v>
      </c>
      <c r="E156" s="6" t="s">
        <v>497</v>
      </c>
      <c r="F156" s="7">
        <f>IF(C156=E156,0,1)</f>
        <v>0</v>
      </c>
      <c r="G156" s="8" t="s">
        <v>298</v>
      </c>
      <c r="H156" s="8" t="s">
        <v>1518</v>
      </c>
      <c r="I156" s="8" t="s">
        <v>493</v>
      </c>
      <c r="J156" s="12">
        <f>M156</f>
        <v>68000</v>
      </c>
      <c r="K156" s="13">
        <f>J156-M156</f>
        <v>0</v>
      </c>
      <c r="L156" s="17" t="s">
        <v>22</v>
      </c>
      <c r="M156" s="20">
        <v>68000</v>
      </c>
      <c r="N156" s="14">
        <f>2000+200+350+600+800</f>
        <v>3950</v>
      </c>
      <c r="O156" s="39">
        <f>M156+N156</f>
        <v>71950</v>
      </c>
      <c r="P156" s="94"/>
      <c r="Q156" s="106" t="s">
        <v>1436</v>
      </c>
      <c r="R156" s="36"/>
      <c r="S156" s="36">
        <f>R156+O156</f>
        <v>71950</v>
      </c>
      <c r="T156" s="36">
        <f>S156/0.7</f>
        <v>102785.71428571429</v>
      </c>
      <c r="U156" s="40">
        <f>T156/0.875</f>
        <v>117469.38775510204</v>
      </c>
      <c r="V156" s="41">
        <f>(U156-T156)/U156</f>
        <v>0.12499999999999997</v>
      </c>
      <c r="W156" s="40">
        <f>(ROUNDUP((U156/100),0))*100</f>
        <v>117500</v>
      </c>
      <c r="X156" s="42">
        <f>(T156-O156)/T156</f>
        <v>0.30000000000000004</v>
      </c>
      <c r="Y156" s="37"/>
      <c r="Z156" s="37"/>
      <c r="AA156" s="37"/>
    </row>
    <row r="157" spans="2:77" ht="14.4" customHeight="1">
      <c r="B157" s="4">
        <v>6</v>
      </c>
      <c r="C157" s="38" t="s">
        <v>492</v>
      </c>
      <c r="D157" s="5" t="str">
        <f>REPLACE(C157,1,3, )</f>
        <v xml:space="preserve"> 185</v>
      </c>
      <c r="E157" s="6" t="s">
        <v>492</v>
      </c>
      <c r="F157" s="7">
        <f>IF(C157=E157,0,1)</f>
        <v>0</v>
      </c>
      <c r="G157" s="8" t="s">
        <v>298</v>
      </c>
      <c r="H157" s="8" t="s">
        <v>1518</v>
      </c>
      <c r="I157" s="8" t="s">
        <v>493</v>
      </c>
      <c r="J157" s="12">
        <f>M157</f>
        <v>63000</v>
      </c>
      <c r="K157" s="13">
        <f>J157-M157</f>
        <v>0</v>
      </c>
      <c r="L157" s="17" t="s">
        <v>22</v>
      </c>
      <c r="M157" s="20">
        <v>63000</v>
      </c>
      <c r="N157" s="14">
        <f>2000+200+350+600+800</f>
        <v>3950</v>
      </c>
      <c r="O157" s="39">
        <f>M157+N157</f>
        <v>66950</v>
      </c>
      <c r="P157" s="94"/>
      <c r="Q157" s="106" t="s">
        <v>1436</v>
      </c>
      <c r="R157" s="36"/>
      <c r="S157" s="36">
        <f>R157+O157</f>
        <v>66950</v>
      </c>
      <c r="T157" s="36">
        <f>S157/0.7</f>
        <v>95642.857142857145</v>
      </c>
      <c r="U157" s="40">
        <f>T157/0.875</f>
        <v>109306.1224489796</v>
      </c>
      <c r="V157" s="41">
        <f>(U157-T157)/U157</f>
        <v>0.12500000000000006</v>
      </c>
      <c r="W157" s="40">
        <f>(ROUNDUP((U157/100),0))*100</f>
        <v>109400</v>
      </c>
      <c r="X157" s="42">
        <f>(T157-O157)/T157</f>
        <v>0.3</v>
      </c>
      <c r="Y157" s="37"/>
      <c r="Z157" s="37"/>
      <c r="AA157" s="37"/>
      <c r="BY157" s="78"/>
    </row>
    <row r="158" spans="2:77" ht="14.4" customHeight="1">
      <c r="B158" s="4">
        <v>8</v>
      </c>
      <c r="C158" s="38" t="s">
        <v>496</v>
      </c>
      <c r="D158" s="5" t="str">
        <f>REPLACE(C158,1,3, )</f>
        <v xml:space="preserve"> 772</v>
      </c>
      <c r="E158" s="6" t="s">
        <v>496</v>
      </c>
      <c r="F158" s="7">
        <f>IF(C158=E158,0,1)</f>
        <v>0</v>
      </c>
      <c r="G158" s="8" t="s">
        <v>298</v>
      </c>
      <c r="H158" s="8" t="s">
        <v>1518</v>
      </c>
      <c r="I158" s="8" t="s">
        <v>487</v>
      </c>
      <c r="J158" s="9"/>
      <c r="K158" s="13">
        <f>J158-M158</f>
        <v>0</v>
      </c>
      <c r="L158" s="4"/>
      <c r="M158" s="14">
        <f>J158-N158</f>
        <v>0</v>
      </c>
      <c r="N158" s="10"/>
      <c r="O158" s="39">
        <f>M158+N158</f>
        <v>0</v>
      </c>
      <c r="P158" s="94"/>
      <c r="Q158" s="102"/>
      <c r="R158" s="36"/>
      <c r="S158" s="36">
        <f>R158+O158</f>
        <v>0</v>
      </c>
      <c r="T158" s="36">
        <f>S158/0.7</f>
        <v>0</v>
      </c>
      <c r="U158" s="40">
        <f>T158/0.875</f>
        <v>0</v>
      </c>
      <c r="V158" s="41" t="e">
        <f>(U158-T158)/U158</f>
        <v>#DIV/0!</v>
      </c>
      <c r="W158" s="40">
        <f>(ROUNDUP((U158/100),0))*100</f>
        <v>0</v>
      </c>
      <c r="X158" s="42" t="e">
        <f>(T158-O158)/T158</f>
        <v>#DIV/0!</v>
      </c>
      <c r="Y158" s="37"/>
      <c r="Z158" s="37"/>
      <c r="AA158" s="37"/>
    </row>
    <row r="159" spans="2:77" ht="14.4" customHeight="1">
      <c r="B159" s="4">
        <v>9</v>
      </c>
      <c r="C159" s="5" t="s">
        <v>175</v>
      </c>
      <c r="D159" s="5" t="str">
        <f>REPLACE(C159,1,3, )</f>
        <v xml:space="preserve"> 938</v>
      </c>
      <c r="E159" s="6" t="s">
        <v>175</v>
      </c>
      <c r="F159" s="7">
        <f>IF(C159=E159,0,1)</f>
        <v>0</v>
      </c>
      <c r="G159" s="11" t="s">
        <v>298</v>
      </c>
      <c r="H159" s="11" t="s">
        <v>1518</v>
      </c>
      <c r="I159" s="11" t="s">
        <v>341</v>
      </c>
      <c r="J159" s="12">
        <v>65000</v>
      </c>
      <c r="K159" s="13">
        <f>J159-M159</f>
        <v>3900</v>
      </c>
      <c r="L159" s="7" t="s">
        <v>23</v>
      </c>
      <c r="M159" s="14">
        <f>J159-N159</f>
        <v>61100</v>
      </c>
      <c r="N159" s="14">
        <f>2000+200+350+600+750</f>
        <v>3900</v>
      </c>
      <c r="O159" s="39">
        <f>M159+N159</f>
        <v>65000</v>
      </c>
      <c r="P159" s="95"/>
      <c r="Q159" s="3" t="s">
        <v>398</v>
      </c>
      <c r="R159" s="36"/>
      <c r="S159" s="36">
        <f>R159+O159</f>
        <v>65000</v>
      </c>
      <c r="T159" s="36">
        <f>S159/0.7</f>
        <v>92857.14285714287</v>
      </c>
      <c r="U159" s="40">
        <f>T159/0.875</f>
        <v>106122.44897959185</v>
      </c>
      <c r="V159" s="41">
        <f>(U159-T159)/U159</f>
        <v>0.12499999999999999</v>
      </c>
      <c r="W159" s="40">
        <f>(ROUNDUP((U159/100),0))*100</f>
        <v>106200</v>
      </c>
      <c r="X159" s="42">
        <f>(T159-O159)/T159</f>
        <v>0.3000000000000001</v>
      </c>
      <c r="Y159" s="43"/>
      <c r="Z159" s="43"/>
      <c r="AA159" s="44"/>
      <c r="AB159" s="60"/>
    </row>
    <row r="160" spans="2:77" ht="14.4" customHeight="1">
      <c r="B160" s="4">
        <v>11</v>
      </c>
      <c r="C160" s="5" t="s">
        <v>500</v>
      </c>
      <c r="D160" s="5" t="str">
        <f>REPLACE(C160,1,3, )</f>
        <v xml:space="preserve"> 922</v>
      </c>
      <c r="E160" s="6" t="s">
        <v>500</v>
      </c>
      <c r="F160" s="7">
        <f>IF(C160=E160,0,1)</f>
        <v>0</v>
      </c>
      <c r="G160" s="8" t="s">
        <v>298</v>
      </c>
      <c r="H160" s="8" t="s">
        <v>1517</v>
      </c>
      <c r="I160" s="8" t="s">
        <v>487</v>
      </c>
      <c r="J160" s="12"/>
      <c r="K160" s="13">
        <f>J160-M160</f>
        <v>0</v>
      </c>
      <c r="L160" s="7"/>
      <c r="M160" s="14">
        <f>J160-N160</f>
        <v>0</v>
      </c>
      <c r="N160" s="14"/>
      <c r="O160" s="39">
        <f>M160+N160</f>
        <v>0</v>
      </c>
      <c r="P160" s="95"/>
      <c r="Q160" s="3"/>
      <c r="R160" s="36"/>
      <c r="S160" s="36">
        <f>R160+O160</f>
        <v>0</v>
      </c>
      <c r="T160" s="36">
        <f>S160/0.7</f>
        <v>0</v>
      </c>
      <c r="U160" s="40">
        <f>T160/0.875</f>
        <v>0</v>
      </c>
      <c r="V160" s="41" t="e">
        <f>(U160-T160)/U160</f>
        <v>#DIV/0!</v>
      </c>
      <c r="W160" s="40">
        <f>(ROUNDUP((U160/100),0))*100</f>
        <v>0</v>
      </c>
      <c r="X160" s="42" t="e">
        <f>(T160-O160)/T160</f>
        <v>#DIV/0!</v>
      </c>
      <c r="Y160" s="43"/>
      <c r="Z160" s="43"/>
      <c r="AA160" s="44"/>
      <c r="AB160" s="60"/>
    </row>
    <row r="161" spans="2:77" ht="14.4" customHeight="1">
      <c r="B161" s="4">
        <v>12</v>
      </c>
      <c r="C161" s="38" t="s">
        <v>501</v>
      </c>
      <c r="D161" s="5" t="str">
        <f>REPLACE(C161,1,3, )</f>
        <v xml:space="preserve"> 924</v>
      </c>
      <c r="E161" s="6" t="s">
        <v>501</v>
      </c>
      <c r="F161" s="7">
        <f>IF(C161=E161,0,1)</f>
        <v>0</v>
      </c>
      <c r="G161" s="8" t="s">
        <v>20</v>
      </c>
      <c r="H161" s="8" t="s">
        <v>1517</v>
      </c>
      <c r="I161" s="8" t="s">
        <v>491</v>
      </c>
      <c r="J161" s="12"/>
      <c r="K161" s="13">
        <f>J161-M161</f>
        <v>0</v>
      </c>
      <c r="L161" s="7"/>
      <c r="M161" s="14">
        <f>J161-N161</f>
        <v>0</v>
      </c>
      <c r="N161" s="14"/>
      <c r="O161" s="39">
        <f>M161+N161</f>
        <v>0</v>
      </c>
      <c r="P161" s="95"/>
      <c r="Q161" s="3"/>
      <c r="R161" s="36"/>
      <c r="S161" s="36">
        <f>R161+O161</f>
        <v>0</v>
      </c>
      <c r="T161" s="36">
        <f>S161/0.7</f>
        <v>0</v>
      </c>
      <c r="U161" s="40">
        <f>T161/0.875</f>
        <v>0</v>
      </c>
      <c r="V161" s="41" t="e">
        <f>(U161-T161)/U161</f>
        <v>#DIV/0!</v>
      </c>
      <c r="W161" s="40">
        <f>(ROUNDUP((U161/100),0))*100</f>
        <v>0</v>
      </c>
      <c r="X161" s="42" t="e">
        <f>(T161-O161)/T161</f>
        <v>#DIV/0!</v>
      </c>
      <c r="Y161" s="45">
        <v>110875</v>
      </c>
      <c r="Z161" s="46">
        <f>T161-Y161</f>
        <v>-110875</v>
      </c>
      <c r="AA161" s="47">
        <f>Z161/Y161</f>
        <v>-1</v>
      </c>
      <c r="AB161" s="60"/>
    </row>
    <row r="162" spans="2:77" ht="14.4" customHeight="1">
      <c r="B162" s="4">
        <v>13</v>
      </c>
      <c r="C162" s="38" t="s">
        <v>502</v>
      </c>
      <c r="D162" s="5" t="str">
        <f>REPLACE(C162,1,3, )</f>
        <v xml:space="preserve"> 209</v>
      </c>
      <c r="E162" s="6" t="s">
        <v>502</v>
      </c>
      <c r="F162" s="7">
        <f>IF(C162=E162,0,1)</f>
        <v>0</v>
      </c>
      <c r="G162" s="8" t="s">
        <v>298</v>
      </c>
      <c r="H162" s="8" t="s">
        <v>1517</v>
      </c>
      <c r="I162" s="8" t="s">
        <v>487</v>
      </c>
      <c r="J162" s="12"/>
      <c r="K162" s="13">
        <f>J162-M162</f>
        <v>0</v>
      </c>
      <c r="L162" s="7"/>
      <c r="M162" s="14">
        <f>J162-N162</f>
        <v>0</v>
      </c>
      <c r="N162" s="14"/>
      <c r="O162" s="39">
        <f>M162+N162</f>
        <v>0</v>
      </c>
      <c r="P162" s="95"/>
      <c r="Q162" s="3"/>
      <c r="R162" s="36"/>
      <c r="S162" s="36">
        <f>R162+O162</f>
        <v>0</v>
      </c>
      <c r="T162" s="36">
        <f>S162/0.7</f>
        <v>0</v>
      </c>
      <c r="U162" s="40">
        <f>T162/0.875</f>
        <v>0</v>
      </c>
      <c r="V162" s="41" t="e">
        <f>(U162-T162)/U162</f>
        <v>#DIV/0!</v>
      </c>
      <c r="W162" s="40">
        <f>(ROUNDUP((U162/100),0))*100</f>
        <v>0</v>
      </c>
      <c r="X162" s="42" t="e">
        <f>(T162-O162)/T162</f>
        <v>#DIV/0!</v>
      </c>
      <c r="Y162" s="43"/>
      <c r="Z162" s="43"/>
      <c r="AA162" s="44"/>
      <c r="AB162" s="60"/>
      <c r="BY162" s="78"/>
    </row>
    <row r="163" spans="2:77" ht="14.4" customHeight="1">
      <c r="B163" s="4">
        <v>14</v>
      </c>
      <c r="C163" s="38" t="s">
        <v>503</v>
      </c>
      <c r="D163" s="5" t="str">
        <f>REPLACE(C163,1,3, )</f>
        <v xml:space="preserve"> 968</v>
      </c>
      <c r="E163" s="6" t="s">
        <v>503</v>
      </c>
      <c r="F163" s="7">
        <f>IF(C163=E163,0,1)</f>
        <v>0</v>
      </c>
      <c r="G163" s="8" t="s">
        <v>298</v>
      </c>
      <c r="H163" s="8" t="s">
        <v>1517</v>
      </c>
      <c r="I163" s="8" t="s">
        <v>493</v>
      </c>
      <c r="J163" s="12">
        <f>M163</f>
        <v>73000</v>
      </c>
      <c r="K163" s="13">
        <f>J163-M163</f>
        <v>0</v>
      </c>
      <c r="L163" s="17" t="s">
        <v>22</v>
      </c>
      <c r="M163" s="20">
        <v>73000</v>
      </c>
      <c r="N163" s="14">
        <f>2000+200+350+600+800</f>
        <v>3950</v>
      </c>
      <c r="O163" s="39">
        <f>M163+N163</f>
        <v>76950</v>
      </c>
      <c r="P163" s="95"/>
      <c r="Q163" s="106" t="s">
        <v>1436</v>
      </c>
      <c r="R163" s="36"/>
      <c r="S163" s="36">
        <f>R163+O163</f>
        <v>76950</v>
      </c>
      <c r="T163" s="36">
        <f>S163/0.7</f>
        <v>109928.57142857143</v>
      </c>
      <c r="U163" s="40">
        <f>T163/0.875</f>
        <v>125632.6530612245</v>
      </c>
      <c r="V163" s="41">
        <f>(U163-T163)/U163</f>
        <v>0.125</v>
      </c>
      <c r="W163" s="40">
        <f>(ROUNDUP((U163/100),0))*100</f>
        <v>125700</v>
      </c>
      <c r="X163" s="42">
        <f>(T163-O163)/T163</f>
        <v>0.30000000000000004</v>
      </c>
      <c r="Y163" s="43"/>
      <c r="Z163" s="43"/>
      <c r="AA163" s="44"/>
      <c r="AB163" s="60"/>
    </row>
    <row r="164" spans="2:77" ht="14.4" customHeight="1">
      <c r="B164" s="4">
        <v>15</v>
      </c>
      <c r="C164" s="38" t="s">
        <v>504</v>
      </c>
      <c r="D164" s="5" t="str">
        <f>REPLACE(C164,1,3, )</f>
        <v xml:space="preserve"> 154</v>
      </c>
      <c r="E164" s="6" t="s">
        <v>504</v>
      </c>
      <c r="F164" s="7">
        <f>IF(C164=E164,0,1)</f>
        <v>0</v>
      </c>
      <c r="G164" s="8" t="s">
        <v>298</v>
      </c>
      <c r="H164" s="8" t="s">
        <v>1517</v>
      </c>
      <c r="I164" s="8" t="s">
        <v>487</v>
      </c>
      <c r="J164" s="12"/>
      <c r="K164" s="13">
        <f>J164-M164</f>
        <v>0</v>
      </c>
      <c r="L164" s="7"/>
      <c r="M164" s="14">
        <f>J164-N164</f>
        <v>0</v>
      </c>
      <c r="N164" s="14"/>
      <c r="O164" s="39">
        <f>M164+N164</f>
        <v>0</v>
      </c>
      <c r="P164" s="95"/>
      <c r="Q164" s="3"/>
      <c r="R164" s="36"/>
      <c r="S164" s="36">
        <f>R164+O164</f>
        <v>0</v>
      </c>
      <c r="T164" s="36">
        <f>S164/0.7</f>
        <v>0</v>
      </c>
      <c r="U164" s="40">
        <f>T164/0.875</f>
        <v>0</v>
      </c>
      <c r="V164" s="41" t="e">
        <f>(U164-T164)/U164</f>
        <v>#DIV/0!</v>
      </c>
      <c r="W164" s="40">
        <f>(ROUNDUP((U164/100),0))*100</f>
        <v>0</v>
      </c>
      <c r="X164" s="42" t="e">
        <f>(T164-O164)/T164</f>
        <v>#DIV/0!</v>
      </c>
      <c r="Y164" s="43"/>
      <c r="Z164" s="43"/>
      <c r="AA164" s="44"/>
      <c r="AB164" s="60"/>
    </row>
    <row r="165" spans="2:77" ht="14.4" customHeight="1">
      <c r="B165" s="4">
        <v>16</v>
      </c>
      <c r="C165" s="38" t="s">
        <v>505</v>
      </c>
      <c r="D165" s="5" t="str">
        <f>REPLACE(C165,1,3, )</f>
        <v xml:space="preserve"> 362</v>
      </c>
      <c r="E165" s="6" t="s">
        <v>505</v>
      </c>
      <c r="F165" s="7">
        <f>IF(C165=E165,0,1)</f>
        <v>0</v>
      </c>
      <c r="G165" s="8" t="s">
        <v>298</v>
      </c>
      <c r="H165" s="11" t="s">
        <v>1518</v>
      </c>
      <c r="I165" s="8" t="s">
        <v>487</v>
      </c>
      <c r="J165" s="12"/>
      <c r="K165" s="13">
        <f>J165-M165</f>
        <v>0</v>
      </c>
      <c r="L165" s="7"/>
      <c r="M165" s="14">
        <f>J165-N165</f>
        <v>0</v>
      </c>
      <c r="N165" s="14"/>
      <c r="O165" s="39">
        <f>M165+N165</f>
        <v>0</v>
      </c>
      <c r="P165" s="95"/>
      <c r="Q165" s="3"/>
      <c r="R165" s="36"/>
      <c r="S165" s="36">
        <f>R165+O165</f>
        <v>0</v>
      </c>
      <c r="T165" s="36">
        <f>S165/0.7</f>
        <v>0</v>
      </c>
      <c r="U165" s="40">
        <f>T165/0.875</f>
        <v>0</v>
      </c>
      <c r="V165" s="41" t="e">
        <f>(U165-T165)/U165</f>
        <v>#DIV/0!</v>
      </c>
      <c r="W165" s="40">
        <f>(ROUNDUP((U165/100),0))*100</f>
        <v>0</v>
      </c>
      <c r="X165" s="42" t="e">
        <f>(T165-O165)/T165</f>
        <v>#DIV/0!</v>
      </c>
      <c r="Y165" s="43"/>
      <c r="Z165" s="43"/>
      <c r="AA165" s="44"/>
      <c r="AB165" s="60"/>
    </row>
    <row r="166" spans="2:77" ht="14.4" customHeight="1">
      <c r="B166" s="4">
        <v>18</v>
      </c>
      <c r="C166" s="38" t="s">
        <v>507</v>
      </c>
      <c r="D166" s="5" t="str">
        <f>REPLACE(C166,1,3, )</f>
        <v xml:space="preserve"> 958</v>
      </c>
      <c r="E166" s="6" t="s">
        <v>507</v>
      </c>
      <c r="F166" s="7">
        <f>IF(C166=E166,0,1)</f>
        <v>0</v>
      </c>
      <c r="G166" s="8" t="s">
        <v>20</v>
      </c>
      <c r="H166" s="8" t="s">
        <v>1518</v>
      </c>
      <c r="I166" s="8" t="s">
        <v>491</v>
      </c>
      <c r="J166" s="12"/>
      <c r="K166" s="13">
        <f>J166-M166</f>
        <v>0</v>
      </c>
      <c r="L166" s="7"/>
      <c r="M166" s="14">
        <f>J166-N166</f>
        <v>0</v>
      </c>
      <c r="N166" s="14"/>
      <c r="O166" s="39">
        <f>M166+N166</f>
        <v>0</v>
      </c>
      <c r="P166" s="95"/>
      <c r="Q166" s="3"/>
      <c r="R166" s="36"/>
      <c r="S166" s="36">
        <f>R166+O166</f>
        <v>0</v>
      </c>
      <c r="T166" s="36">
        <f>S166/0.7</f>
        <v>0</v>
      </c>
      <c r="U166" s="40">
        <f>T166/0.875</f>
        <v>0</v>
      </c>
      <c r="V166" s="41" t="e">
        <f>(U166-T166)/U166</f>
        <v>#DIV/0!</v>
      </c>
      <c r="W166" s="40">
        <f>(ROUNDUP((U166/100),0))*100</f>
        <v>0</v>
      </c>
      <c r="X166" s="42" t="e">
        <f>(T166-O166)/T166</f>
        <v>#DIV/0!</v>
      </c>
      <c r="Y166" s="45">
        <v>98613</v>
      </c>
      <c r="Z166" s="46">
        <f>T166-Y166</f>
        <v>-98613</v>
      </c>
      <c r="AA166" s="47">
        <f>Z166/Y166</f>
        <v>-1</v>
      </c>
      <c r="AB166" s="60"/>
      <c r="BY166" s="78"/>
    </row>
    <row r="167" spans="2:77" ht="14.4" customHeight="1">
      <c r="B167" s="4">
        <v>20</v>
      </c>
      <c r="C167" s="38" t="s">
        <v>509</v>
      </c>
      <c r="D167" s="5" t="str">
        <f>REPLACE(C167,1,3, )</f>
        <v xml:space="preserve"> 948</v>
      </c>
      <c r="E167" s="6" t="s">
        <v>509</v>
      </c>
      <c r="F167" s="7">
        <f>IF(C167=E167,0,1)</f>
        <v>0</v>
      </c>
      <c r="G167" s="8" t="s">
        <v>298</v>
      </c>
      <c r="H167" s="8" t="s">
        <v>1518</v>
      </c>
      <c r="I167" s="8" t="s">
        <v>510</v>
      </c>
      <c r="J167" s="12">
        <v>63000</v>
      </c>
      <c r="K167" s="13">
        <f>J167-M167</f>
        <v>3950</v>
      </c>
      <c r="L167" s="7" t="s">
        <v>23</v>
      </c>
      <c r="M167" s="14">
        <f>J167-N167</f>
        <v>59050</v>
      </c>
      <c r="N167" s="14">
        <f>2000+200+350+600+800</f>
        <v>3950</v>
      </c>
      <c r="O167" s="39">
        <f>M167+N167</f>
        <v>63000</v>
      </c>
      <c r="P167" s="95"/>
      <c r="Q167" s="77" t="s">
        <v>1436</v>
      </c>
      <c r="R167" s="36"/>
      <c r="S167" s="36">
        <f>R167+O167</f>
        <v>63000</v>
      </c>
      <c r="T167" s="36">
        <f>S167/0.7</f>
        <v>90000</v>
      </c>
      <c r="U167" s="40">
        <f>T167/0.875</f>
        <v>102857.14285714286</v>
      </c>
      <c r="V167" s="41">
        <f>(U167-T167)/U167</f>
        <v>0.12499999999999999</v>
      </c>
      <c r="W167" s="40">
        <f>(ROUNDUP((U167/100),0))*100</f>
        <v>102900</v>
      </c>
      <c r="X167" s="42">
        <f>(T167-O167)/T167</f>
        <v>0.3</v>
      </c>
      <c r="Y167" s="43"/>
      <c r="Z167" s="43"/>
      <c r="AA167" s="44"/>
      <c r="AB167" s="60"/>
    </row>
    <row r="168" spans="2:77" ht="14.4" customHeight="1">
      <c r="B168" s="4">
        <v>21</v>
      </c>
      <c r="C168" s="38" t="s">
        <v>511</v>
      </c>
      <c r="D168" s="5" t="str">
        <f>REPLACE(C168,1,3, )</f>
        <v xml:space="preserve"> 988</v>
      </c>
      <c r="E168" s="6" t="s">
        <v>511</v>
      </c>
      <c r="F168" s="7">
        <f>IF(C168=E168,0,1)</f>
        <v>0</v>
      </c>
      <c r="G168" s="8" t="s">
        <v>20</v>
      </c>
      <c r="H168" s="8" t="s">
        <v>1518</v>
      </c>
      <c r="I168" s="8" t="s">
        <v>512</v>
      </c>
      <c r="J168" s="12"/>
      <c r="K168" s="13">
        <f>J168-M168</f>
        <v>0</v>
      </c>
      <c r="L168" s="7"/>
      <c r="M168" s="14">
        <f>J168-N168</f>
        <v>0</v>
      </c>
      <c r="N168" s="14"/>
      <c r="O168" s="39">
        <f>M168+N168</f>
        <v>0</v>
      </c>
      <c r="P168" s="95"/>
      <c r="Q168" s="3"/>
      <c r="R168" s="36"/>
      <c r="S168" s="36">
        <f>R168+O168</f>
        <v>0</v>
      </c>
      <c r="T168" s="36">
        <f>S168/0.7</f>
        <v>0</v>
      </c>
      <c r="U168" s="40">
        <f>T168/0.875</f>
        <v>0</v>
      </c>
      <c r="V168" s="41" t="e">
        <f>(U168-T168)/U168</f>
        <v>#DIV/0!</v>
      </c>
      <c r="W168" s="40">
        <f>(ROUNDUP((U168/100),0))*100</f>
        <v>0</v>
      </c>
      <c r="X168" s="42" t="e">
        <f>(T168-O168)/T168</f>
        <v>#DIV/0!</v>
      </c>
      <c r="Y168" s="45">
        <v>102375</v>
      </c>
      <c r="Z168" s="46">
        <f>T168-Y168</f>
        <v>-102375</v>
      </c>
      <c r="AA168" s="47">
        <f>Z168/Y168</f>
        <v>-1</v>
      </c>
      <c r="AB168" s="60"/>
    </row>
    <row r="169" spans="2:77" ht="14.4" customHeight="1">
      <c r="B169" s="4">
        <v>22</v>
      </c>
      <c r="C169" s="38" t="s">
        <v>513</v>
      </c>
      <c r="D169" s="5" t="str">
        <f>REPLACE(C169,1,3, )</f>
        <v xml:space="preserve"> 945</v>
      </c>
      <c r="E169" s="6" t="s">
        <v>513</v>
      </c>
      <c r="F169" s="7">
        <f>IF(C169=E169,0,1)</f>
        <v>0</v>
      </c>
      <c r="G169" s="8" t="s">
        <v>20</v>
      </c>
      <c r="H169" s="8" t="s">
        <v>1518</v>
      </c>
      <c r="I169" s="8" t="s">
        <v>491</v>
      </c>
      <c r="J169" s="12"/>
      <c r="K169" s="13">
        <f>J169-M169</f>
        <v>0</v>
      </c>
      <c r="L169" s="7"/>
      <c r="M169" s="14">
        <f>J169-N169</f>
        <v>0</v>
      </c>
      <c r="N169" s="14"/>
      <c r="O169" s="39">
        <f>M169+N169</f>
        <v>0</v>
      </c>
      <c r="P169" s="95"/>
      <c r="Q169" s="3"/>
      <c r="R169" s="36"/>
      <c r="S169" s="36">
        <f>R169+O169</f>
        <v>0</v>
      </c>
      <c r="T169" s="36">
        <f>S169/0.7</f>
        <v>0</v>
      </c>
      <c r="U169" s="40">
        <f>T169/0.875</f>
        <v>0</v>
      </c>
      <c r="V169" s="41" t="e">
        <f>(U169-T169)/U169</f>
        <v>#DIV/0!</v>
      </c>
      <c r="W169" s="40">
        <f>(ROUNDUP((U169/100),0))*100</f>
        <v>0</v>
      </c>
      <c r="X169" s="42" t="e">
        <f>(T169-O169)/T169</f>
        <v>#DIV/0!</v>
      </c>
      <c r="Y169" s="45">
        <v>112875</v>
      </c>
      <c r="Z169" s="46">
        <f>T169-Y169</f>
        <v>-112875</v>
      </c>
      <c r="AA169" s="47">
        <f>Z169/Y169</f>
        <v>-1</v>
      </c>
      <c r="AB169" s="60"/>
    </row>
    <row r="170" spans="2:77" ht="14.4" customHeight="1">
      <c r="B170" s="4">
        <v>24</v>
      </c>
      <c r="C170" s="5" t="s">
        <v>190</v>
      </c>
      <c r="D170" s="5" t="str">
        <f>REPLACE(C170,1,3, )</f>
        <v xml:space="preserve"> 336</v>
      </c>
      <c r="E170" s="6" t="s">
        <v>190</v>
      </c>
      <c r="F170" s="7">
        <f>IF(C170=E170,0,1)</f>
        <v>0</v>
      </c>
      <c r="G170" s="11" t="s">
        <v>298</v>
      </c>
      <c r="H170" s="11" t="s">
        <v>1518</v>
      </c>
      <c r="I170" s="11" t="s">
        <v>345</v>
      </c>
      <c r="J170" s="12">
        <v>72500</v>
      </c>
      <c r="K170" s="13">
        <f>J170-M170</f>
        <v>3900</v>
      </c>
      <c r="L170" s="7" t="s">
        <v>23</v>
      </c>
      <c r="M170" s="14">
        <f>J170-N170</f>
        <v>68600</v>
      </c>
      <c r="N170" s="15">
        <f>2000+200+350+600+750</f>
        <v>3900</v>
      </c>
      <c r="O170" s="39">
        <f>M170+N170</f>
        <v>72500</v>
      </c>
      <c r="P170" s="95"/>
      <c r="Q170" s="3" t="s">
        <v>404</v>
      </c>
      <c r="R170" s="36"/>
      <c r="S170" s="36">
        <f>R170+O170</f>
        <v>72500</v>
      </c>
      <c r="T170" s="36">
        <f>S170/0.7</f>
        <v>103571.42857142858</v>
      </c>
      <c r="U170" s="40">
        <f>T170/0.875</f>
        <v>118367.34693877552</v>
      </c>
      <c r="V170" s="41">
        <f>(U170-T170)/U170</f>
        <v>0.12499999999999999</v>
      </c>
      <c r="W170" s="40">
        <f>(ROUNDUP((U170/100),0))*100</f>
        <v>118400</v>
      </c>
      <c r="X170" s="42">
        <f>(T170-O170)/T170</f>
        <v>0.30000000000000004</v>
      </c>
      <c r="Y170" s="43"/>
      <c r="Z170" s="43"/>
      <c r="AA170" s="44"/>
      <c r="AB170" s="60"/>
    </row>
    <row r="171" spans="2:77" ht="14.4" customHeight="1">
      <c r="B171" s="4">
        <v>25</v>
      </c>
      <c r="C171" s="38" t="s">
        <v>516</v>
      </c>
      <c r="D171" s="5" t="str">
        <f>REPLACE(C171,1,3, )</f>
        <v xml:space="preserve"> 731</v>
      </c>
      <c r="E171" s="6" t="s">
        <v>516</v>
      </c>
      <c r="F171" s="7">
        <f>IF(C171=E171,0,1)</f>
        <v>0</v>
      </c>
      <c r="G171" s="8" t="s">
        <v>298</v>
      </c>
      <c r="H171" s="8" t="s">
        <v>1518</v>
      </c>
      <c r="I171" s="8" t="s">
        <v>487</v>
      </c>
      <c r="J171" s="12"/>
      <c r="K171" s="13">
        <f>J171-M171</f>
        <v>0</v>
      </c>
      <c r="L171" s="7"/>
      <c r="M171" s="14">
        <f>J171-N171</f>
        <v>0</v>
      </c>
      <c r="N171" s="15"/>
      <c r="O171" s="39">
        <f>M171+N171</f>
        <v>0</v>
      </c>
      <c r="P171" s="95"/>
      <c r="Q171" s="3"/>
      <c r="R171" s="36"/>
      <c r="S171" s="36">
        <f>R171+O171</f>
        <v>0</v>
      </c>
      <c r="T171" s="36">
        <f>S171/0.7</f>
        <v>0</v>
      </c>
      <c r="U171" s="40">
        <f>T171/0.875</f>
        <v>0</v>
      </c>
      <c r="V171" s="41" t="e">
        <f>(U171-T171)/U171</f>
        <v>#DIV/0!</v>
      </c>
      <c r="W171" s="40">
        <f>(ROUNDUP((U171/100),0))*100</f>
        <v>0</v>
      </c>
      <c r="X171" s="42" t="e">
        <f>(T171-O171)/T171</f>
        <v>#DIV/0!</v>
      </c>
      <c r="Y171" s="43"/>
      <c r="Z171" s="43"/>
      <c r="AA171" s="44"/>
      <c r="AB171" s="60"/>
    </row>
    <row r="172" spans="2:77" ht="14.4" customHeight="1">
      <c r="B172" s="4">
        <v>27</v>
      </c>
      <c r="C172" s="38" t="s">
        <v>517</v>
      </c>
      <c r="D172" s="5" t="str">
        <f>REPLACE(C172,1,3, )</f>
        <v xml:space="preserve"> 630</v>
      </c>
      <c r="E172" s="6" t="s">
        <v>517</v>
      </c>
      <c r="F172" s="7">
        <f>IF(C172=E172,0,1)</f>
        <v>0</v>
      </c>
      <c r="G172" s="8" t="s">
        <v>20</v>
      </c>
      <c r="H172" s="8" t="s">
        <v>1518</v>
      </c>
      <c r="I172" s="8" t="s">
        <v>491</v>
      </c>
      <c r="J172" s="12"/>
      <c r="K172" s="13">
        <f>J172-M172</f>
        <v>0</v>
      </c>
      <c r="L172" s="7"/>
      <c r="M172" s="14">
        <f>J172-N172</f>
        <v>0</v>
      </c>
      <c r="N172" s="15"/>
      <c r="O172" s="39">
        <f>M172+N172</f>
        <v>0</v>
      </c>
      <c r="P172" s="95"/>
      <c r="Q172" s="3"/>
      <c r="R172" s="36"/>
      <c r="S172" s="36">
        <f>R172+O172</f>
        <v>0</v>
      </c>
      <c r="T172" s="36">
        <f>S172/0.7</f>
        <v>0</v>
      </c>
      <c r="U172" s="40">
        <f>T172/0.875</f>
        <v>0</v>
      </c>
      <c r="V172" s="41" t="e">
        <f>(U172-T172)/U172</f>
        <v>#DIV/0!</v>
      </c>
      <c r="W172" s="40">
        <f>(ROUNDUP((U172/100),0))*100</f>
        <v>0</v>
      </c>
      <c r="X172" s="42" t="e">
        <f>(T172-O172)/T172</f>
        <v>#DIV/0!</v>
      </c>
      <c r="Y172" s="45">
        <v>112875</v>
      </c>
      <c r="Z172" s="46">
        <f>T172-Y172</f>
        <v>-112875</v>
      </c>
      <c r="AA172" s="47">
        <f>Z172/Y172</f>
        <v>-1</v>
      </c>
      <c r="AB172" s="60"/>
    </row>
    <row r="173" spans="2:77" ht="14.4" customHeight="1">
      <c r="B173" s="4">
        <v>28</v>
      </c>
      <c r="C173" s="38" t="s">
        <v>518</v>
      </c>
      <c r="D173" s="5" t="str">
        <f>REPLACE(C173,1,3, )</f>
        <v xml:space="preserve"> 574</v>
      </c>
      <c r="E173" s="6" t="s">
        <v>518</v>
      </c>
      <c r="F173" s="7">
        <f>IF(C173=E173,0,1)</f>
        <v>0</v>
      </c>
      <c r="G173" s="8" t="s">
        <v>298</v>
      </c>
      <c r="H173" s="8" t="s">
        <v>1518</v>
      </c>
      <c r="I173" s="8" t="s">
        <v>491</v>
      </c>
      <c r="J173" s="12"/>
      <c r="K173" s="13">
        <f>J173-M173</f>
        <v>0</v>
      </c>
      <c r="L173" s="7"/>
      <c r="M173" s="14">
        <f>J173-N173</f>
        <v>0</v>
      </c>
      <c r="N173" s="15"/>
      <c r="O173" s="39">
        <f>M173+N173</f>
        <v>0</v>
      </c>
      <c r="P173" s="95"/>
      <c r="Q173" s="3"/>
      <c r="R173" s="36"/>
      <c r="S173" s="36">
        <f>R173+O173</f>
        <v>0</v>
      </c>
      <c r="T173" s="36">
        <f>S173/0.7</f>
        <v>0</v>
      </c>
      <c r="U173" s="40">
        <f>T173/0.875</f>
        <v>0</v>
      </c>
      <c r="V173" s="41" t="e">
        <f>(U173-T173)/U173</f>
        <v>#DIV/0!</v>
      </c>
      <c r="W173" s="40">
        <f>(ROUNDUP((U173/100),0))*100</f>
        <v>0</v>
      </c>
      <c r="X173" s="42" t="e">
        <f>(T173-O173)/T173</f>
        <v>#DIV/0!</v>
      </c>
      <c r="Y173" s="43"/>
      <c r="Z173" s="43"/>
      <c r="AA173" s="43"/>
      <c r="AB173" s="59"/>
    </row>
    <row r="174" spans="2:77" ht="14.4" customHeight="1">
      <c r="B174" s="4">
        <v>29</v>
      </c>
      <c r="C174" s="38" t="s">
        <v>519</v>
      </c>
      <c r="D174" s="5" t="str">
        <f>REPLACE(C174,1,3, )</f>
        <v xml:space="preserve"> 781</v>
      </c>
      <c r="E174" s="6" t="s">
        <v>519</v>
      </c>
      <c r="F174" s="7">
        <f>IF(C174=E174,0,1)</f>
        <v>0</v>
      </c>
      <c r="G174" s="8" t="s">
        <v>298</v>
      </c>
      <c r="H174" s="8" t="s">
        <v>1518</v>
      </c>
      <c r="I174" s="8" t="s">
        <v>487</v>
      </c>
      <c r="J174" s="12"/>
      <c r="K174" s="13">
        <f>J174-M174</f>
        <v>0</v>
      </c>
      <c r="L174" s="7"/>
      <c r="M174" s="14">
        <f>J174-N174</f>
        <v>0</v>
      </c>
      <c r="N174" s="15"/>
      <c r="O174" s="39">
        <f>M174+N174</f>
        <v>0</v>
      </c>
      <c r="P174" s="95"/>
      <c r="Q174" s="3"/>
      <c r="R174" s="36"/>
      <c r="S174" s="36">
        <f>R174+O174</f>
        <v>0</v>
      </c>
      <c r="T174" s="36">
        <f>S174/0.7</f>
        <v>0</v>
      </c>
      <c r="U174" s="40">
        <f>T174/0.875</f>
        <v>0</v>
      </c>
      <c r="V174" s="41" t="e">
        <f>(U174-T174)/U174</f>
        <v>#DIV/0!</v>
      </c>
      <c r="W174" s="40">
        <f>(ROUNDUP((U174/100),0))*100</f>
        <v>0</v>
      </c>
      <c r="X174" s="42" t="e">
        <f>(T174-O174)/T174</f>
        <v>#DIV/0!</v>
      </c>
      <c r="Y174" s="43"/>
      <c r="Z174" s="43"/>
      <c r="AA174" s="43"/>
      <c r="AB174" s="59"/>
    </row>
    <row r="175" spans="2:77" ht="14.4" customHeight="1">
      <c r="B175" s="4">
        <v>30</v>
      </c>
      <c r="C175" s="38" t="s">
        <v>520</v>
      </c>
      <c r="D175" s="5" t="str">
        <f>REPLACE(C175,1,3, )</f>
        <v xml:space="preserve"> 140</v>
      </c>
      <c r="E175" s="6" t="s">
        <v>520</v>
      </c>
      <c r="F175" s="7">
        <f>IF(C175=E175,0,1)</f>
        <v>0</v>
      </c>
      <c r="G175" s="8" t="s">
        <v>20</v>
      </c>
      <c r="H175" s="8" t="s">
        <v>1518</v>
      </c>
      <c r="I175" s="8" t="s">
        <v>491</v>
      </c>
      <c r="J175" s="12"/>
      <c r="K175" s="13">
        <f>J175-M175</f>
        <v>0</v>
      </c>
      <c r="L175" s="7"/>
      <c r="M175" s="14">
        <f>J175-N175</f>
        <v>0</v>
      </c>
      <c r="N175" s="15"/>
      <c r="O175" s="39">
        <f>M175+N175</f>
        <v>0</v>
      </c>
      <c r="P175" s="95"/>
      <c r="Q175" s="3"/>
      <c r="R175" s="36"/>
      <c r="S175" s="36">
        <f>R175+O175</f>
        <v>0</v>
      </c>
      <c r="T175" s="36">
        <f>S175/0.7</f>
        <v>0</v>
      </c>
      <c r="U175" s="40">
        <f>T175/0.875</f>
        <v>0</v>
      </c>
      <c r="V175" s="41" t="e">
        <f>(U175-T175)/U175</f>
        <v>#DIV/0!</v>
      </c>
      <c r="W175" s="40">
        <f>(ROUNDUP((U175/100),0))*100</f>
        <v>0</v>
      </c>
      <c r="X175" s="42" t="e">
        <f>(T175-O175)/T175</f>
        <v>#DIV/0!</v>
      </c>
      <c r="Y175" s="45">
        <v>112875</v>
      </c>
      <c r="Z175" s="46">
        <f>T175-Y175</f>
        <v>-112875</v>
      </c>
      <c r="AA175" s="47">
        <f>Z175/Y175</f>
        <v>-1</v>
      </c>
      <c r="AB175" s="60"/>
    </row>
    <row r="176" spans="2:77" ht="14.4" customHeight="1">
      <c r="B176" s="4">
        <v>31</v>
      </c>
      <c r="C176" s="5" t="s">
        <v>270</v>
      </c>
      <c r="D176" s="5" t="str">
        <f>REPLACE(C176,1,3, )</f>
        <v xml:space="preserve"> 888</v>
      </c>
      <c r="E176" s="6" t="s">
        <v>270</v>
      </c>
      <c r="F176" s="7">
        <f>IF(C176=E176,0,1)</f>
        <v>0</v>
      </c>
      <c r="G176" s="11" t="s">
        <v>298</v>
      </c>
      <c r="H176" s="11" t="s">
        <v>1518</v>
      </c>
      <c r="I176" s="11" t="s">
        <v>364</v>
      </c>
      <c r="J176" s="12">
        <v>70000</v>
      </c>
      <c r="K176" s="13">
        <f>J176-M176</f>
        <v>4200</v>
      </c>
      <c r="L176" s="7" t="s">
        <v>23</v>
      </c>
      <c r="M176" s="14">
        <f>J176-N176</f>
        <v>65800</v>
      </c>
      <c r="N176" s="15">
        <f>2000+200+350+600+300+750</f>
        <v>4200</v>
      </c>
      <c r="O176" s="39">
        <f>M176+N176</f>
        <v>70000</v>
      </c>
      <c r="P176" s="95"/>
      <c r="Q176" s="3" t="s">
        <v>456</v>
      </c>
      <c r="R176" s="36"/>
      <c r="S176" s="36">
        <f>R176+O176</f>
        <v>70000</v>
      </c>
      <c r="T176" s="36">
        <f>S176/0.7</f>
        <v>100000</v>
      </c>
      <c r="U176" s="40">
        <f>T176/0.875</f>
        <v>114285.71428571429</v>
      </c>
      <c r="V176" s="41">
        <f>(U176-T176)/U176</f>
        <v>0.12500000000000003</v>
      </c>
      <c r="W176" s="40">
        <f>(ROUNDUP((U176/100),0))*100</f>
        <v>114300</v>
      </c>
      <c r="X176" s="42">
        <f>(T176-O176)/T176</f>
        <v>0.3</v>
      </c>
      <c r="Y176" s="43"/>
      <c r="Z176" s="43"/>
      <c r="AA176" s="44"/>
      <c r="AB176" s="60"/>
    </row>
    <row r="177" spans="2:77" ht="14.4" customHeight="1">
      <c r="B177" s="4">
        <v>32</v>
      </c>
      <c r="C177" s="5" t="s">
        <v>189</v>
      </c>
      <c r="D177" s="5" t="str">
        <f>REPLACE(C177,1,3, )</f>
        <v xml:space="preserve"> 766</v>
      </c>
      <c r="E177" s="6" t="s">
        <v>189</v>
      </c>
      <c r="F177" s="7">
        <f>IF(C177=E177,0,1)</f>
        <v>0</v>
      </c>
      <c r="G177" s="11" t="s">
        <v>298</v>
      </c>
      <c r="H177" s="11" t="s">
        <v>1518</v>
      </c>
      <c r="I177" s="11" t="s">
        <v>344</v>
      </c>
      <c r="J177" s="12">
        <v>72000</v>
      </c>
      <c r="K177" s="13">
        <f>J177-M177</f>
        <v>3900</v>
      </c>
      <c r="L177" s="7" t="s">
        <v>23</v>
      </c>
      <c r="M177" s="14">
        <f>J177-N177</f>
        <v>68100</v>
      </c>
      <c r="N177" s="15">
        <f>2000+200+350+600+750</f>
        <v>3900</v>
      </c>
      <c r="O177" s="39">
        <f>M177+N177</f>
        <v>72000</v>
      </c>
      <c r="P177" s="95"/>
      <c r="Q177" s="3" t="s">
        <v>398</v>
      </c>
      <c r="R177" s="36"/>
      <c r="S177" s="36">
        <f>R177+O177</f>
        <v>72000</v>
      </c>
      <c r="T177" s="36">
        <f>S177/0.7</f>
        <v>102857.14285714287</v>
      </c>
      <c r="U177" s="40">
        <f>T177/0.875</f>
        <v>117551.02040816328</v>
      </c>
      <c r="V177" s="41">
        <f>(U177-T177)/U177</f>
        <v>0.12500000000000003</v>
      </c>
      <c r="W177" s="40">
        <f>(ROUNDUP((U177/100),0))*100</f>
        <v>117600</v>
      </c>
      <c r="X177" s="42">
        <f>(T177-O177)/T177</f>
        <v>0.3000000000000001</v>
      </c>
      <c r="Y177" s="43"/>
      <c r="Z177" s="43"/>
      <c r="AA177" s="43"/>
      <c r="AB177" s="59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</row>
    <row r="178" spans="2:77" ht="14.4" customHeight="1">
      <c r="B178" s="4">
        <v>33</v>
      </c>
      <c r="C178" s="38" t="s">
        <v>521</v>
      </c>
      <c r="D178" s="5" t="str">
        <f>REPLACE(C178,1,3, )</f>
        <v xml:space="preserve"> 836</v>
      </c>
      <c r="E178" s="6" t="s">
        <v>521</v>
      </c>
      <c r="F178" s="7">
        <f>IF(C178=E178,0,1)</f>
        <v>0</v>
      </c>
      <c r="G178" s="8" t="s">
        <v>298</v>
      </c>
      <c r="H178" s="11" t="s">
        <v>1518</v>
      </c>
      <c r="I178" s="8" t="s">
        <v>499</v>
      </c>
      <c r="J178" s="12">
        <f>M178</f>
        <v>75000</v>
      </c>
      <c r="K178" s="13">
        <f>J178-M178</f>
        <v>0</v>
      </c>
      <c r="L178" s="17" t="s">
        <v>22</v>
      </c>
      <c r="M178" s="18">
        <f>75000</f>
        <v>75000</v>
      </c>
      <c r="N178" s="15">
        <f>2000+200+350+600+800</f>
        <v>3950</v>
      </c>
      <c r="O178" s="39">
        <f>M178+N178</f>
        <v>78950</v>
      </c>
      <c r="P178" s="95"/>
      <c r="Q178" s="77" t="s">
        <v>1367</v>
      </c>
      <c r="R178" s="36"/>
      <c r="S178" s="36">
        <f>R178+O178</f>
        <v>78950</v>
      </c>
      <c r="T178" s="36">
        <f>S178/0.7</f>
        <v>112785.71428571429</v>
      </c>
      <c r="U178" s="40">
        <f>T178/0.875</f>
        <v>128897.95918367348</v>
      </c>
      <c r="V178" s="41">
        <f>(U178-T178)/U178</f>
        <v>0.12500000000000003</v>
      </c>
      <c r="W178" s="40">
        <f>(ROUNDUP((U178/100),0))*100</f>
        <v>128900</v>
      </c>
      <c r="X178" s="42">
        <f>(T178-O178)/T178</f>
        <v>0.30000000000000004</v>
      </c>
      <c r="Y178" s="43"/>
      <c r="Z178" s="43"/>
      <c r="AA178" s="43"/>
      <c r="AB178" s="59"/>
    </row>
    <row r="179" spans="2:77" ht="14.4" customHeight="1">
      <c r="B179" s="4">
        <v>34</v>
      </c>
      <c r="C179" s="38" t="s">
        <v>522</v>
      </c>
      <c r="D179" s="5" t="str">
        <f>REPLACE(C179,1,3, )</f>
        <v xml:space="preserve"> 482</v>
      </c>
      <c r="E179" s="6" t="s">
        <v>522</v>
      </c>
      <c r="F179" s="7">
        <f>IF(C179=E179,0,1)</f>
        <v>0</v>
      </c>
      <c r="G179" s="8" t="s">
        <v>20</v>
      </c>
      <c r="H179" s="11" t="s">
        <v>1518</v>
      </c>
      <c r="I179" s="8" t="s">
        <v>491</v>
      </c>
      <c r="J179" s="12"/>
      <c r="K179" s="13">
        <f>J179-M179</f>
        <v>0</v>
      </c>
      <c r="L179" s="7"/>
      <c r="M179" s="14">
        <f>J179-N179</f>
        <v>0</v>
      </c>
      <c r="N179" s="15"/>
      <c r="O179" s="39">
        <f>M179+N179</f>
        <v>0</v>
      </c>
      <c r="P179" s="95"/>
      <c r="Q179" s="3"/>
      <c r="R179" s="36"/>
      <c r="S179" s="36">
        <f>R179+O179</f>
        <v>0</v>
      </c>
      <c r="T179" s="36">
        <f>S179/0.7</f>
        <v>0</v>
      </c>
      <c r="U179" s="40">
        <f>T179/0.875</f>
        <v>0</v>
      </c>
      <c r="V179" s="41" t="e">
        <f>(U179-T179)/U179</f>
        <v>#DIV/0!</v>
      </c>
      <c r="W179" s="40">
        <f>(ROUNDUP((U179/100),0))*100</f>
        <v>0</v>
      </c>
      <c r="X179" s="42" t="e">
        <f>(T179-O179)/T179</f>
        <v>#DIV/0!</v>
      </c>
      <c r="Y179" s="45">
        <v>112875</v>
      </c>
      <c r="Z179" s="46">
        <f>T179-Y179</f>
        <v>-112875</v>
      </c>
      <c r="AA179" s="47">
        <f>Z179/Y179</f>
        <v>-1</v>
      </c>
      <c r="AB179" s="60"/>
    </row>
    <row r="180" spans="2:77" ht="14.4" customHeight="1">
      <c r="B180" s="4">
        <v>35</v>
      </c>
      <c r="C180" s="38" t="s">
        <v>1339</v>
      </c>
      <c r="D180" s="5" t="str">
        <f>REPLACE(C180,1,3, )</f>
        <v xml:space="preserve"> 683</v>
      </c>
      <c r="E180" s="6" t="s">
        <v>1339</v>
      </c>
      <c r="F180" s="7">
        <f>IF(C180=E180,0,1)</f>
        <v>0</v>
      </c>
      <c r="G180" s="8" t="s">
        <v>298</v>
      </c>
      <c r="H180" s="11" t="s">
        <v>1518</v>
      </c>
      <c r="I180" s="8" t="s">
        <v>524</v>
      </c>
      <c r="J180" s="12">
        <v>95000</v>
      </c>
      <c r="K180" s="13">
        <f>J180-M180</f>
        <v>3950</v>
      </c>
      <c r="L180" s="7" t="s">
        <v>23</v>
      </c>
      <c r="M180" s="14">
        <f>J180-N180</f>
        <v>91050</v>
      </c>
      <c r="N180" s="15">
        <f>2000+200+350+600+800</f>
        <v>3950</v>
      </c>
      <c r="O180" s="39">
        <f>M180+N180</f>
        <v>95000</v>
      </c>
      <c r="P180" s="95"/>
      <c r="Q180" s="77" t="s">
        <v>1436</v>
      </c>
      <c r="R180" s="36"/>
      <c r="S180" s="36">
        <f>R180+O180</f>
        <v>95000</v>
      </c>
      <c r="T180" s="36">
        <f>S180/0.7</f>
        <v>135714.28571428571</v>
      </c>
      <c r="U180" s="40">
        <f>T180/0.875</f>
        <v>155102.04081632654</v>
      </c>
      <c r="V180" s="41">
        <f>(U180-T180)/U180</f>
        <v>0.12500000000000008</v>
      </c>
      <c r="W180" s="40">
        <f>(ROUNDUP((U180/100),0))*100</f>
        <v>155200</v>
      </c>
      <c r="X180" s="42">
        <f>(T180-O180)/T180</f>
        <v>0.3</v>
      </c>
      <c r="Y180" s="43"/>
      <c r="Z180" s="43"/>
      <c r="AA180" s="43"/>
      <c r="AB180" s="59"/>
    </row>
    <row r="181" spans="2:77" ht="14.4" customHeight="1">
      <c r="B181" s="4">
        <v>36</v>
      </c>
      <c r="C181" s="38" t="s">
        <v>525</v>
      </c>
      <c r="D181" s="5" t="str">
        <f>REPLACE(C181,1,3, )</f>
        <v xml:space="preserve"> 827</v>
      </c>
      <c r="E181" s="6" t="s">
        <v>525</v>
      </c>
      <c r="F181" s="7">
        <f>IF(C181=E181,0,1)</f>
        <v>0</v>
      </c>
      <c r="G181" s="8" t="s">
        <v>298</v>
      </c>
      <c r="H181" s="11" t="s">
        <v>1518</v>
      </c>
      <c r="I181" s="8" t="s">
        <v>510</v>
      </c>
      <c r="J181" s="12">
        <v>70000</v>
      </c>
      <c r="K181" s="13">
        <f>J181-M181</f>
        <v>3950</v>
      </c>
      <c r="L181" s="7" t="s">
        <v>23</v>
      </c>
      <c r="M181" s="14">
        <f>J181-N181</f>
        <v>66050</v>
      </c>
      <c r="N181" s="15">
        <f>2000+200+350+600+800</f>
        <v>3950</v>
      </c>
      <c r="O181" s="39">
        <f>M181+N181</f>
        <v>70000</v>
      </c>
      <c r="P181" s="95"/>
      <c r="Q181" s="77" t="s">
        <v>1436</v>
      </c>
      <c r="R181" s="36"/>
      <c r="S181" s="36">
        <f>R181+O181</f>
        <v>70000</v>
      </c>
      <c r="T181" s="36">
        <f>S181/0.7</f>
        <v>100000</v>
      </c>
      <c r="U181" s="40">
        <f>T181/0.875</f>
        <v>114285.71428571429</v>
      </c>
      <c r="V181" s="41">
        <f>(U181-T181)/U181</f>
        <v>0.12500000000000003</v>
      </c>
      <c r="W181" s="40">
        <f>(ROUNDUP((U181/100),0))*100</f>
        <v>114300</v>
      </c>
      <c r="X181" s="42">
        <f>(T181-O181)/T181</f>
        <v>0.3</v>
      </c>
      <c r="Y181" s="43"/>
      <c r="Z181" s="43"/>
      <c r="AA181" s="43"/>
      <c r="AB181" s="59"/>
    </row>
    <row r="182" spans="2:77" ht="14.4" customHeight="1">
      <c r="B182" s="4">
        <v>37</v>
      </c>
      <c r="C182" s="38" t="s">
        <v>526</v>
      </c>
      <c r="D182" s="5" t="str">
        <f>REPLACE(C182,1,3, )</f>
        <v xml:space="preserve"> 332</v>
      </c>
      <c r="E182" s="6" t="s">
        <v>526</v>
      </c>
      <c r="F182" s="7">
        <f>IF(C182=E182,0,1)</f>
        <v>0</v>
      </c>
      <c r="G182" s="8" t="s">
        <v>298</v>
      </c>
      <c r="H182" s="11" t="s">
        <v>1518</v>
      </c>
      <c r="I182" s="8" t="s">
        <v>487</v>
      </c>
      <c r="J182" s="12"/>
      <c r="K182" s="13">
        <f>J182-M182</f>
        <v>0</v>
      </c>
      <c r="L182" s="7"/>
      <c r="M182" s="14">
        <f>J182-N182</f>
        <v>0</v>
      </c>
      <c r="N182" s="15"/>
      <c r="O182" s="39">
        <f>M182+N182</f>
        <v>0</v>
      </c>
      <c r="P182" s="95"/>
      <c r="Q182" s="3"/>
      <c r="R182" s="36"/>
      <c r="S182" s="36">
        <f>R182+O182</f>
        <v>0</v>
      </c>
      <c r="T182" s="36">
        <f>S182/0.7</f>
        <v>0</v>
      </c>
      <c r="U182" s="40">
        <f>T182/0.875</f>
        <v>0</v>
      </c>
      <c r="V182" s="41" t="e">
        <f>(U182-T182)/U182</f>
        <v>#DIV/0!</v>
      </c>
      <c r="W182" s="40">
        <f>(ROUNDUP((U182/100),0))*100</f>
        <v>0</v>
      </c>
      <c r="X182" s="42" t="e">
        <f>(T182-O182)/T182</f>
        <v>#DIV/0!</v>
      </c>
      <c r="Y182" s="43"/>
      <c r="Z182" s="43"/>
      <c r="AA182" s="43"/>
      <c r="AB182" s="189" t="s">
        <v>1566</v>
      </c>
      <c r="AC182" s="195">
        <v>109898.80952380953</v>
      </c>
      <c r="AD182" s="194">
        <v>107084.0336134454</v>
      </c>
      <c r="AE182" s="196">
        <v>94286</v>
      </c>
      <c r="AF182" s="148">
        <v>2.6285673180046404E-2</v>
      </c>
      <c r="AG182" s="149">
        <v>117333</v>
      </c>
      <c r="AH182" s="114">
        <v>135782</v>
      </c>
      <c r="AI182" s="146">
        <v>122920.00000000001</v>
      </c>
      <c r="AJ182" s="147">
        <v>103360</v>
      </c>
      <c r="AK182" s="154"/>
      <c r="AL182" s="114">
        <v>106995</v>
      </c>
      <c r="AM182" s="146">
        <v>109427.14285714287</v>
      </c>
      <c r="AN182" s="146">
        <v>103421</v>
      </c>
      <c r="AO182" s="154">
        <v>117275</v>
      </c>
      <c r="AP182" s="156">
        <v>112500</v>
      </c>
      <c r="AQ182" s="146">
        <v>107437.14285714287</v>
      </c>
      <c r="AR182" s="146">
        <v>106500</v>
      </c>
      <c r="AS182" s="151"/>
      <c r="AT182" s="156">
        <v>133200</v>
      </c>
      <c r="AU182" s="146">
        <v>113202.85714285714</v>
      </c>
      <c r="AV182" s="146">
        <v>115680</v>
      </c>
      <c r="AW182" s="158"/>
      <c r="AX182" s="151"/>
      <c r="AY182" s="151"/>
      <c r="AZ182" s="151">
        <v>103824</v>
      </c>
      <c r="BA182" s="155">
        <v>100680</v>
      </c>
      <c r="BB182" s="146">
        <v>105049</v>
      </c>
      <c r="BC182" s="146">
        <v>95346</v>
      </c>
      <c r="BD182" s="151"/>
      <c r="BE182" s="149"/>
      <c r="BF182" s="151"/>
      <c r="BG182" s="151"/>
      <c r="BH182" s="151"/>
      <c r="BI182" s="156">
        <v>150500</v>
      </c>
      <c r="BJ182" s="146">
        <v>121417.14285714287</v>
      </c>
      <c r="BK182" s="146">
        <v>108876</v>
      </c>
      <c r="BL182" s="151"/>
      <c r="BM182" s="158"/>
      <c r="BN182" s="146">
        <v>114915.71428571429</v>
      </c>
      <c r="BO182" s="151"/>
      <c r="BP182" s="151"/>
      <c r="BQ182" s="149"/>
      <c r="BR182" s="151"/>
      <c r="BS182" s="151"/>
      <c r="BT182" s="151"/>
      <c r="BU182" s="149"/>
      <c r="BV182" s="151"/>
      <c r="BW182" s="151"/>
      <c r="BX182" s="153"/>
    </row>
    <row r="183" spans="2:77" ht="14.4" customHeight="1">
      <c r="B183" s="4">
        <v>1</v>
      </c>
      <c r="C183" s="6" t="s">
        <v>483</v>
      </c>
      <c r="D183" s="5" t="str">
        <f>REPLACE(C183,1,3, )</f>
        <v xml:space="preserve"> 239</v>
      </c>
      <c r="E183" s="6" t="s">
        <v>483</v>
      </c>
      <c r="F183" s="7">
        <f>IF(C183=E183,0,1)</f>
        <v>0</v>
      </c>
      <c r="G183" s="4" t="s">
        <v>20</v>
      </c>
      <c r="H183" s="8" t="s">
        <v>326</v>
      </c>
      <c r="I183" s="8" t="s">
        <v>484</v>
      </c>
      <c r="J183" s="90">
        <v>52000</v>
      </c>
      <c r="K183" s="90">
        <f>J183-M183</f>
        <v>0</v>
      </c>
      <c r="L183" s="103" t="s">
        <v>1428</v>
      </c>
      <c r="M183" s="86">
        <f>J183</f>
        <v>52000</v>
      </c>
      <c r="N183" s="87">
        <f>2000+650+500+200+300</f>
        <v>3650</v>
      </c>
      <c r="O183" s="101">
        <f>M183+N183</f>
        <v>55650</v>
      </c>
      <c r="P183" s="95"/>
      <c r="Q183" s="89" t="s">
        <v>1424</v>
      </c>
      <c r="R183" s="36"/>
      <c r="S183" s="36">
        <f>R183+O183</f>
        <v>55650</v>
      </c>
      <c r="T183" s="36">
        <f>S183/0.7</f>
        <v>79500</v>
      </c>
      <c r="U183" s="40">
        <f>T183/0.875</f>
        <v>90857.142857142855</v>
      </c>
      <c r="V183" s="41">
        <f>(U183-T183)/U183</f>
        <v>0.12499999999999999</v>
      </c>
      <c r="W183" s="40">
        <f>(ROUNDUP((U183/100),0))*100</f>
        <v>90900</v>
      </c>
      <c r="X183" s="42">
        <f>(T183-O183)/T183</f>
        <v>0.3</v>
      </c>
      <c r="Y183" s="45">
        <v>82425</v>
      </c>
      <c r="Z183" s="46">
        <f>T183-Y183</f>
        <v>-2925</v>
      </c>
      <c r="AA183" s="47">
        <f>Z183/Y183</f>
        <v>-3.5486806187443133E-2</v>
      </c>
      <c r="AB183" s="60"/>
    </row>
    <row r="184" spans="2:77" ht="14.4" customHeight="1">
      <c r="B184" s="4">
        <v>3</v>
      </c>
      <c r="C184" s="38" t="s">
        <v>1338</v>
      </c>
      <c r="D184" s="5" t="str">
        <f>REPLACE(C184,1,3, )</f>
        <v xml:space="preserve"> 280</v>
      </c>
      <c r="E184" s="6" t="s">
        <v>1338</v>
      </c>
      <c r="F184" s="7">
        <f>IF(C184=E184,0,1)</f>
        <v>0</v>
      </c>
      <c r="G184" s="8" t="s">
        <v>298</v>
      </c>
      <c r="H184" s="8" t="s">
        <v>326</v>
      </c>
      <c r="I184" s="8" t="s">
        <v>489</v>
      </c>
      <c r="J184" s="12">
        <f>M184</f>
        <v>70000</v>
      </c>
      <c r="K184" s="13">
        <f>J184-M184</f>
        <v>0</v>
      </c>
      <c r="L184" s="17" t="s">
        <v>22</v>
      </c>
      <c r="M184" s="18">
        <v>70000</v>
      </c>
      <c r="N184" s="15">
        <f>2000+200+350+600+800</f>
        <v>3950</v>
      </c>
      <c r="O184" s="39">
        <f>M184+N184</f>
        <v>73950</v>
      </c>
      <c r="P184" s="94"/>
      <c r="Q184" s="106" t="s">
        <v>1436</v>
      </c>
      <c r="R184" s="36"/>
      <c r="S184" s="36">
        <f>R184+O184</f>
        <v>73950</v>
      </c>
      <c r="T184" s="36">
        <f>S184/0.7</f>
        <v>105642.85714285714</v>
      </c>
      <c r="U184" s="40">
        <f>T184/0.875</f>
        <v>120734.69387755102</v>
      </c>
      <c r="V184" s="41">
        <f>(U184-T184)/U184</f>
        <v>0.12499999999999999</v>
      </c>
      <c r="W184" s="40">
        <f>(ROUNDUP((U184/100),0))*100</f>
        <v>120800</v>
      </c>
      <c r="X184" s="42">
        <f>(T184-O184)/T184</f>
        <v>0.3</v>
      </c>
      <c r="Y184" s="37"/>
      <c r="Z184" s="37"/>
      <c r="AA184" s="37"/>
    </row>
    <row r="185" spans="2:77" ht="14.4" customHeight="1">
      <c r="B185" s="4">
        <v>7</v>
      </c>
      <c r="C185" s="38" t="s">
        <v>494</v>
      </c>
      <c r="D185" s="5" t="str">
        <f>REPLACE(C185,1,3, )</f>
        <v xml:space="preserve"> 244</v>
      </c>
      <c r="E185" s="6" t="s">
        <v>494</v>
      </c>
      <c r="F185" s="7">
        <f>IF(C185=E185,0,1)</f>
        <v>0</v>
      </c>
      <c r="G185" s="8" t="s">
        <v>20</v>
      </c>
      <c r="H185" s="8" t="s">
        <v>326</v>
      </c>
      <c r="I185" s="8" t="s">
        <v>495</v>
      </c>
      <c r="J185" s="84">
        <v>58000</v>
      </c>
      <c r="K185" s="13">
        <f>J185-M185</f>
        <v>3650</v>
      </c>
      <c r="L185" s="103" t="s">
        <v>1429</v>
      </c>
      <c r="M185" s="14">
        <f>J185-N185</f>
        <v>54350</v>
      </c>
      <c r="N185" s="10">
        <v>3650</v>
      </c>
      <c r="O185" s="39">
        <f>M185+N185</f>
        <v>58000</v>
      </c>
      <c r="P185" s="94"/>
      <c r="Q185" s="77" t="s">
        <v>1397</v>
      </c>
      <c r="R185" s="36"/>
      <c r="S185" s="36">
        <f>R185+O185</f>
        <v>58000</v>
      </c>
      <c r="T185" s="36">
        <f>S185/0.7</f>
        <v>82857.14285714287</v>
      </c>
      <c r="U185" s="40">
        <f>T185/0.875</f>
        <v>94693.877551020429</v>
      </c>
      <c r="V185" s="41">
        <f>(U185-T185)/U185</f>
        <v>0.12500000000000006</v>
      </c>
      <c r="W185" s="40">
        <f>(ROUNDUP((U185/100),0))*100</f>
        <v>94700</v>
      </c>
      <c r="X185" s="42">
        <f>(T185-O185)/T185</f>
        <v>0.3000000000000001</v>
      </c>
      <c r="Y185" s="45">
        <v>87150</v>
      </c>
      <c r="Z185" s="46">
        <f>T185-Y185</f>
        <v>-4292.8571428571304</v>
      </c>
      <c r="AA185" s="47">
        <f>Z185/Y185</f>
        <v>-4.9258257519875275E-2</v>
      </c>
      <c r="AB185" s="60"/>
    </row>
    <row r="186" spans="2:77" ht="14.4" customHeight="1">
      <c r="B186" s="4">
        <v>119</v>
      </c>
      <c r="C186" s="5" t="s">
        <v>295</v>
      </c>
      <c r="D186" s="5" t="str">
        <f>REPLACE(C186,1,3, )</f>
        <v xml:space="preserve"> 817</v>
      </c>
      <c r="E186" s="6" t="s">
        <v>295</v>
      </c>
      <c r="F186" s="7">
        <f>IF(C186=E186,0,1)</f>
        <v>0</v>
      </c>
      <c r="G186" s="11" t="s">
        <v>298</v>
      </c>
      <c r="H186" s="11" t="s">
        <v>326</v>
      </c>
      <c r="I186" s="11" t="s">
        <v>370</v>
      </c>
      <c r="J186" s="12">
        <f>M186</f>
        <v>52500</v>
      </c>
      <c r="K186" s="13">
        <f>J186-M186</f>
        <v>0</v>
      </c>
      <c r="L186" s="17" t="s">
        <v>22</v>
      </c>
      <c r="M186" s="18">
        <v>52500</v>
      </c>
      <c r="N186" s="15">
        <f>2000+200+250+300+800+600</f>
        <v>4150</v>
      </c>
      <c r="O186" s="39">
        <f>M186+N186</f>
        <v>56650</v>
      </c>
      <c r="P186" s="95"/>
      <c r="Q186" s="3" t="s">
        <v>465</v>
      </c>
      <c r="R186" s="36"/>
      <c r="S186" s="36">
        <f>R186+O186</f>
        <v>56650</v>
      </c>
      <c r="T186" s="36">
        <f>S186/0.7</f>
        <v>80928.571428571435</v>
      </c>
      <c r="U186" s="40">
        <f>T186/0.875</f>
        <v>92489.795918367352</v>
      </c>
      <c r="V186" s="41">
        <f>(U186-T186)/U186</f>
        <v>0.12499999999999999</v>
      </c>
      <c r="W186" s="40">
        <f>(ROUNDUP((U186/100),0))*100</f>
        <v>92500</v>
      </c>
      <c r="X186" s="42">
        <f>(T186-O186)/T186</f>
        <v>0.30000000000000004</v>
      </c>
      <c r="Y186" s="43"/>
      <c r="Z186" s="43"/>
      <c r="AA186" s="44"/>
      <c r="AB186" s="189" t="s">
        <v>1567</v>
      </c>
      <c r="AC186" s="197">
        <v>86650.000000000015</v>
      </c>
      <c r="AD186" s="146">
        <v>80901.78571428571</v>
      </c>
      <c r="AE186" s="146"/>
      <c r="AF186" s="148">
        <v>7.1051760291358804E-2</v>
      </c>
      <c r="AG186" s="149">
        <v>87000</v>
      </c>
      <c r="AH186" s="198">
        <v>95156</v>
      </c>
      <c r="AI186" s="199">
        <v>87635.71428571429</v>
      </c>
      <c r="AJ186" s="199">
        <v>61143</v>
      </c>
      <c r="AK186" s="200"/>
      <c r="AL186" s="156">
        <v>91288</v>
      </c>
      <c r="AM186" s="199">
        <v>91198.571428571435</v>
      </c>
      <c r="AN186" s="199">
        <v>88407</v>
      </c>
      <c r="AO186" s="200">
        <v>88081</v>
      </c>
      <c r="AP186" s="156">
        <v>90844</v>
      </c>
      <c r="AQ186" s="199">
        <v>81731.42857142858</v>
      </c>
      <c r="AR186" s="199">
        <v>81731</v>
      </c>
      <c r="AS186" s="200">
        <v>90738</v>
      </c>
      <c r="AT186" s="156">
        <v>92430</v>
      </c>
      <c r="AU186" s="199">
        <v>83700</v>
      </c>
      <c r="AV186" s="199">
        <v>82650</v>
      </c>
      <c r="AW186" s="158"/>
      <c r="AX186" s="151"/>
      <c r="AY186" s="151"/>
      <c r="AZ186" s="151">
        <v>78300</v>
      </c>
      <c r="BA186" s="201">
        <v>81466</v>
      </c>
      <c r="BB186" s="199">
        <v>75681</v>
      </c>
      <c r="BC186" s="199">
        <v>76167</v>
      </c>
      <c r="BD186" s="200"/>
      <c r="BE186" s="149"/>
      <c r="BF186" s="151"/>
      <c r="BG186" s="151"/>
      <c r="BH186" s="151"/>
      <c r="BI186" s="156">
        <v>92000</v>
      </c>
      <c r="BJ186" s="199">
        <v>73000</v>
      </c>
      <c r="BK186" s="199">
        <v>79429</v>
      </c>
      <c r="BL186" s="200"/>
      <c r="BM186" s="158"/>
      <c r="BN186" s="199">
        <v>86972.857142857145</v>
      </c>
      <c r="BO186" s="200"/>
      <c r="BP186" s="200"/>
      <c r="BQ186" s="149"/>
      <c r="BR186" s="151"/>
      <c r="BS186" s="151"/>
      <c r="BT186" s="151"/>
      <c r="BU186" s="149"/>
      <c r="BV186" s="151"/>
      <c r="BW186" s="151"/>
      <c r="BX186" s="153"/>
    </row>
    <row r="187" spans="2:77" ht="14.4" customHeight="1">
      <c r="B187" s="4">
        <v>55</v>
      </c>
      <c r="C187" s="38" t="s">
        <v>530</v>
      </c>
      <c r="D187" s="5" t="str">
        <f>REPLACE(C187,1,3, )</f>
        <v xml:space="preserve"> 240</v>
      </c>
      <c r="E187" s="6" t="s">
        <v>530</v>
      </c>
      <c r="F187" s="7">
        <f>IF(C187=E187,0,1)</f>
        <v>0</v>
      </c>
      <c r="G187" s="8" t="s">
        <v>298</v>
      </c>
      <c r="H187" s="8" t="s">
        <v>314</v>
      </c>
      <c r="I187" s="8" t="s">
        <v>531</v>
      </c>
      <c r="J187" s="12">
        <v>110000</v>
      </c>
      <c r="K187" s="13">
        <f>J187-M187</f>
        <v>6250</v>
      </c>
      <c r="L187" s="7" t="s">
        <v>23</v>
      </c>
      <c r="M187" s="14">
        <f>J187-N187</f>
        <v>103750</v>
      </c>
      <c r="N187" s="15">
        <f>2000+3100+200+350+600</f>
        <v>6250</v>
      </c>
      <c r="O187" s="39">
        <f>M187+N187</f>
        <v>110000</v>
      </c>
      <c r="P187" s="95"/>
      <c r="Q187" s="77" t="s">
        <v>1511</v>
      </c>
      <c r="R187" s="36"/>
      <c r="S187" s="36">
        <f>R187+O187</f>
        <v>110000</v>
      </c>
      <c r="T187" s="36">
        <f>S187/0.7</f>
        <v>157142.85714285716</v>
      </c>
      <c r="U187" s="40">
        <f>T187/0.875</f>
        <v>179591.8367346939</v>
      </c>
      <c r="V187" s="41">
        <f>(U187-T187)/U187</f>
        <v>0.12500000000000003</v>
      </c>
      <c r="W187" s="40">
        <f>(ROUNDUP((U187/100),0))*100</f>
        <v>179600</v>
      </c>
      <c r="X187" s="42">
        <f>(T187-O187)/T187</f>
        <v>0.3000000000000001</v>
      </c>
      <c r="Y187" s="45"/>
      <c r="Z187" s="46"/>
      <c r="AA187" s="47"/>
      <c r="AB187" s="60"/>
    </row>
    <row r="188" spans="2:77" ht="14.4" customHeight="1">
      <c r="B188" s="4">
        <v>56</v>
      </c>
      <c r="C188" s="5" t="s">
        <v>81</v>
      </c>
      <c r="D188" s="5" t="str">
        <f>REPLACE(C188,1,3, )</f>
        <v xml:space="preserve"> 716</v>
      </c>
      <c r="E188" s="6" t="s">
        <v>81</v>
      </c>
      <c r="F188" s="7">
        <f>IF(C188=E188,0,1)</f>
        <v>0</v>
      </c>
      <c r="G188" s="11" t="s">
        <v>20</v>
      </c>
      <c r="H188" s="11" t="s">
        <v>314</v>
      </c>
      <c r="I188" s="11" t="s">
        <v>344</v>
      </c>
      <c r="J188" s="12">
        <v>132500</v>
      </c>
      <c r="K188" s="13">
        <f>J188-M188</f>
        <v>6250</v>
      </c>
      <c r="L188" s="7" t="s">
        <v>23</v>
      </c>
      <c r="M188" s="14">
        <f>J188-N188</f>
        <v>126250</v>
      </c>
      <c r="N188" s="15">
        <f>2000+200+350+600+3100</f>
        <v>6250</v>
      </c>
      <c r="O188" s="39">
        <f>M188+N188</f>
        <v>132500</v>
      </c>
      <c r="P188" s="95"/>
      <c r="Q188" s="3" t="s">
        <v>405</v>
      </c>
      <c r="R188" s="36"/>
      <c r="S188" s="36">
        <f>R188+O188</f>
        <v>132500</v>
      </c>
      <c r="T188" s="36">
        <f>S188/0.7</f>
        <v>189285.71428571429</v>
      </c>
      <c r="U188" s="40">
        <f>T188/0.875</f>
        <v>216326.53061224491</v>
      </c>
      <c r="V188" s="41">
        <f>(U188-T188)/U188</f>
        <v>0.12500000000000003</v>
      </c>
      <c r="W188" s="40">
        <f>(ROUNDUP((U188/100),0))*100</f>
        <v>216400</v>
      </c>
      <c r="X188" s="42">
        <f>(T188-O188)/T188</f>
        <v>0.3</v>
      </c>
      <c r="Y188" s="45">
        <v>188650</v>
      </c>
      <c r="Z188" s="46">
        <f>T188-Y188</f>
        <v>635.71428571428987</v>
      </c>
      <c r="AA188" s="47">
        <f>Z188/Y188</f>
        <v>3.3698080345310887E-3</v>
      </c>
      <c r="AB188" s="60"/>
    </row>
    <row r="189" spans="2:77" ht="14.4" customHeight="1">
      <c r="B189" s="4">
        <v>57</v>
      </c>
      <c r="C189" s="38" t="s">
        <v>533</v>
      </c>
      <c r="D189" s="5" t="str">
        <f>REPLACE(C189,1,3, )</f>
        <v xml:space="preserve"> 628</v>
      </c>
      <c r="E189" s="6" t="s">
        <v>533</v>
      </c>
      <c r="F189" s="7">
        <f>IF(C189=E189,0,1)</f>
        <v>0</v>
      </c>
      <c r="G189" s="8" t="s">
        <v>298</v>
      </c>
      <c r="H189" s="8" t="s">
        <v>314</v>
      </c>
      <c r="I189" s="8" t="s">
        <v>512</v>
      </c>
      <c r="J189" s="12"/>
      <c r="K189" s="13">
        <f>J189-M189</f>
        <v>0</v>
      </c>
      <c r="L189" s="7"/>
      <c r="M189" s="14">
        <f>J189-N189</f>
        <v>0</v>
      </c>
      <c r="N189" s="15"/>
      <c r="O189" s="39">
        <f>M189+N189</f>
        <v>0</v>
      </c>
      <c r="P189" s="95"/>
      <c r="Q189" s="3"/>
      <c r="R189" s="36"/>
      <c r="S189" s="36">
        <f>R189+O189</f>
        <v>0</v>
      </c>
      <c r="T189" s="36">
        <f>S189/0.7</f>
        <v>0</v>
      </c>
      <c r="U189" s="40">
        <f>T189/0.875</f>
        <v>0</v>
      </c>
      <c r="V189" s="41" t="e">
        <f>(U189-T189)/U189</f>
        <v>#DIV/0!</v>
      </c>
      <c r="W189" s="40">
        <f>(ROUNDUP((U189/100),0))*100</f>
        <v>0</v>
      </c>
      <c r="X189" s="42" t="e">
        <f>(T189-O189)/T189</f>
        <v>#DIV/0!</v>
      </c>
      <c r="Y189" s="45"/>
      <c r="Z189" s="46"/>
      <c r="AA189" s="47"/>
      <c r="AB189" s="60"/>
    </row>
    <row r="190" spans="2:77" ht="14.4" customHeight="1">
      <c r="B190" s="4">
        <v>58</v>
      </c>
      <c r="C190" s="38" t="s">
        <v>534</v>
      </c>
      <c r="D190" s="5" t="str">
        <f>REPLACE(C190,1,3, )</f>
        <v xml:space="preserve"> 287</v>
      </c>
      <c r="E190" s="6" t="s">
        <v>534</v>
      </c>
      <c r="F190" s="7">
        <f>IF(C190=E190,0,1)</f>
        <v>0</v>
      </c>
      <c r="G190" s="8" t="s">
        <v>20</v>
      </c>
      <c r="H190" s="8" t="s">
        <v>314</v>
      </c>
      <c r="I190" s="8" t="s">
        <v>535</v>
      </c>
      <c r="J190" s="12"/>
      <c r="K190" s="13">
        <f>J190-M190</f>
        <v>0</v>
      </c>
      <c r="L190" s="7"/>
      <c r="M190" s="14">
        <f>J190-N190</f>
        <v>0</v>
      </c>
      <c r="N190" s="15"/>
      <c r="O190" s="39">
        <f>M190+N190</f>
        <v>0</v>
      </c>
      <c r="P190" s="95"/>
      <c r="Q190" s="3"/>
      <c r="R190" s="36"/>
      <c r="S190" s="36">
        <f>R190+O190</f>
        <v>0</v>
      </c>
      <c r="T190" s="36">
        <f>S190/0.7</f>
        <v>0</v>
      </c>
      <c r="U190" s="40">
        <f>T190/0.875</f>
        <v>0</v>
      </c>
      <c r="V190" s="41" t="e">
        <f>(U190-T190)/U190</f>
        <v>#DIV/0!</v>
      </c>
      <c r="W190" s="40">
        <f>(ROUNDUP((U190/100),0))*100</f>
        <v>0</v>
      </c>
      <c r="X190" s="42" t="e">
        <f>(T190-O190)/T190</f>
        <v>#DIV/0!</v>
      </c>
      <c r="Y190" s="45">
        <v>183575</v>
      </c>
      <c r="Z190" s="46">
        <f>T190-Y190</f>
        <v>-183575</v>
      </c>
      <c r="AA190" s="47">
        <f>Z190/Y190</f>
        <v>-1</v>
      </c>
      <c r="AB190" s="60"/>
    </row>
    <row r="191" spans="2:77" ht="14.4" customHeight="1">
      <c r="B191" s="4">
        <v>59</v>
      </c>
      <c r="C191" s="38" t="s">
        <v>536</v>
      </c>
      <c r="D191" s="5" t="str">
        <f>REPLACE(C191,1,3, )</f>
        <v xml:space="preserve"> 956</v>
      </c>
      <c r="E191" s="6" t="s">
        <v>536</v>
      </c>
      <c r="F191" s="7">
        <f>IF(C191=E191,0,1)</f>
        <v>0</v>
      </c>
      <c r="G191" s="8" t="s">
        <v>20</v>
      </c>
      <c r="H191" s="8" t="s">
        <v>314</v>
      </c>
      <c r="I191" s="8" t="s">
        <v>491</v>
      </c>
      <c r="J191" s="12"/>
      <c r="K191" s="13">
        <f>J191-M191</f>
        <v>0</v>
      </c>
      <c r="L191" s="7"/>
      <c r="M191" s="14">
        <f>J191-N191</f>
        <v>0</v>
      </c>
      <c r="N191" s="15"/>
      <c r="O191" s="39">
        <f>M191+N191</f>
        <v>0</v>
      </c>
      <c r="P191" s="95"/>
      <c r="Q191" s="3"/>
      <c r="R191" s="36"/>
      <c r="S191" s="36">
        <f>R191+O191</f>
        <v>0</v>
      </c>
      <c r="T191" s="36">
        <f>S191/0.7</f>
        <v>0</v>
      </c>
      <c r="U191" s="40">
        <f>T191/0.875</f>
        <v>0</v>
      </c>
      <c r="V191" s="41" t="e">
        <f>(U191-T191)/U191</f>
        <v>#DIV/0!</v>
      </c>
      <c r="W191" s="40">
        <f>(ROUNDUP((U191/100),0))*100</f>
        <v>0</v>
      </c>
      <c r="X191" s="42" t="e">
        <f>(T191-O191)/T191</f>
        <v>#DIV/0!</v>
      </c>
      <c r="Y191" s="45">
        <v>145775</v>
      </c>
      <c r="Z191" s="46">
        <f>T191-Y191</f>
        <v>-145775</v>
      </c>
      <c r="AA191" s="47">
        <f>Z191/Y191</f>
        <v>-1</v>
      </c>
      <c r="AB191" s="60"/>
    </row>
    <row r="192" spans="2:77" ht="14.4" customHeight="1">
      <c r="B192" s="4">
        <v>60</v>
      </c>
      <c r="C192" s="38" t="s">
        <v>537</v>
      </c>
      <c r="D192" s="5" t="str">
        <f>REPLACE(C192,1,3, )</f>
        <v xml:space="preserve"> 634</v>
      </c>
      <c r="E192" s="6" t="s">
        <v>537</v>
      </c>
      <c r="F192" s="7">
        <f>IF(C192=E192,0,1)</f>
        <v>0</v>
      </c>
      <c r="G192" s="8" t="s">
        <v>298</v>
      </c>
      <c r="H192" s="8" t="s">
        <v>314</v>
      </c>
      <c r="I192" s="8" t="s">
        <v>538</v>
      </c>
      <c r="J192" s="12">
        <v>118000</v>
      </c>
      <c r="K192" s="13">
        <f>J192-M192</f>
        <v>6250</v>
      </c>
      <c r="L192" s="7" t="s">
        <v>23</v>
      </c>
      <c r="M192" s="14">
        <f>J192-N192</f>
        <v>111750</v>
      </c>
      <c r="N192" s="15">
        <f>2000+200+350+600+3100</f>
        <v>6250</v>
      </c>
      <c r="O192" s="39">
        <f>M192+N192</f>
        <v>118000</v>
      </c>
      <c r="P192" s="95"/>
      <c r="Q192" s="77" t="s">
        <v>1377</v>
      </c>
      <c r="R192" s="36"/>
      <c r="S192" s="36">
        <f>R192+O192</f>
        <v>118000</v>
      </c>
      <c r="T192" s="36">
        <f>S192/0.7</f>
        <v>168571.42857142858</v>
      </c>
      <c r="U192" s="40">
        <f>T192/0.875</f>
        <v>192653.06122448979</v>
      </c>
      <c r="V192" s="41">
        <f>(U192-T192)/U192</f>
        <v>0.12499999999999994</v>
      </c>
      <c r="W192" s="40">
        <f>(ROUNDUP((U192/100),0))*100</f>
        <v>192700</v>
      </c>
      <c r="X192" s="42">
        <f>(T192-O192)/T192</f>
        <v>0.30000000000000004</v>
      </c>
      <c r="Y192" s="45"/>
      <c r="Z192" s="46"/>
      <c r="AA192" s="47"/>
      <c r="AB192" s="60"/>
      <c r="BY192" s="78"/>
    </row>
    <row r="193" spans="2:77" ht="14.4" customHeight="1">
      <c r="B193" s="4">
        <v>61</v>
      </c>
      <c r="C193" s="38" t="s">
        <v>1341</v>
      </c>
      <c r="D193" s="5" t="str">
        <f>REPLACE(C193,1,3, )</f>
        <v xml:space="preserve"> 114</v>
      </c>
      <c r="E193" s="6" t="s">
        <v>1341</v>
      </c>
      <c r="F193" s="7">
        <f>IF(C193=E193,0,1)</f>
        <v>0</v>
      </c>
      <c r="G193" s="8" t="s">
        <v>298</v>
      </c>
      <c r="H193" s="8" t="s">
        <v>314</v>
      </c>
      <c r="I193" s="8" t="s">
        <v>531</v>
      </c>
      <c r="J193" s="12">
        <v>150000</v>
      </c>
      <c r="K193" s="13">
        <f>J193-M193</f>
        <v>6250</v>
      </c>
      <c r="L193" s="7" t="s">
        <v>23</v>
      </c>
      <c r="M193" s="14">
        <f>J193-N193</f>
        <v>143750</v>
      </c>
      <c r="N193" s="15">
        <f>2000+3100+200+350+600</f>
        <v>6250</v>
      </c>
      <c r="O193" s="39">
        <f>M193+N193</f>
        <v>150000</v>
      </c>
      <c r="P193" s="95"/>
      <c r="Q193" s="77" t="s">
        <v>1510</v>
      </c>
      <c r="R193" s="36"/>
      <c r="S193" s="36">
        <f>R193+O193</f>
        <v>150000</v>
      </c>
      <c r="T193" s="36">
        <f>S193/0.7</f>
        <v>214285.71428571429</v>
      </c>
      <c r="U193" s="40">
        <f>T193/0.875</f>
        <v>244897.95918367346</v>
      </c>
      <c r="V193" s="41">
        <f>(U193-T193)/U193</f>
        <v>0.12499999999999996</v>
      </c>
      <c r="W193" s="40">
        <f>(ROUNDUP((U193/100),0))*100</f>
        <v>244900</v>
      </c>
      <c r="X193" s="42">
        <f>(T193-O193)/T193</f>
        <v>0.3</v>
      </c>
      <c r="Y193" s="45"/>
      <c r="Z193" s="46"/>
      <c r="AA193" s="47"/>
      <c r="AB193" s="60"/>
    </row>
    <row r="194" spans="2:77" ht="14.4" customHeight="1">
      <c r="B194" s="4">
        <v>62</v>
      </c>
      <c r="C194" s="38" t="s">
        <v>540</v>
      </c>
      <c r="D194" s="5" t="str">
        <f>REPLACE(C194,1,3, )</f>
        <v xml:space="preserve"> 293</v>
      </c>
      <c r="E194" s="6" t="s">
        <v>540</v>
      </c>
      <c r="F194" s="7">
        <f>IF(C194=E194,0,1)</f>
        <v>0</v>
      </c>
      <c r="G194" s="8" t="s">
        <v>20</v>
      </c>
      <c r="H194" s="8" t="s">
        <v>314</v>
      </c>
      <c r="I194" s="8" t="s">
        <v>491</v>
      </c>
      <c r="J194" s="12"/>
      <c r="K194" s="13">
        <f>J194-M194</f>
        <v>0</v>
      </c>
      <c r="L194" s="7"/>
      <c r="M194" s="14">
        <f>J194-N194</f>
        <v>0</v>
      </c>
      <c r="N194" s="15"/>
      <c r="O194" s="39">
        <f>M194+N194</f>
        <v>0</v>
      </c>
      <c r="P194" s="95"/>
      <c r="Q194" s="3"/>
      <c r="R194" s="36"/>
      <c r="S194" s="36">
        <f>R194+O194</f>
        <v>0</v>
      </c>
      <c r="T194" s="36">
        <f>S194/0.7</f>
        <v>0</v>
      </c>
      <c r="U194" s="40">
        <f>T194/0.875</f>
        <v>0</v>
      </c>
      <c r="V194" s="41" t="e">
        <f>(U194-T194)/U194</f>
        <v>#DIV/0!</v>
      </c>
      <c r="W194" s="40">
        <f>(ROUNDUP((U194/100),0))*100</f>
        <v>0</v>
      </c>
      <c r="X194" s="42" t="e">
        <f>(T194-O194)/T194</f>
        <v>#DIV/0!</v>
      </c>
      <c r="Y194" s="45">
        <v>160038</v>
      </c>
      <c r="Z194" s="46">
        <f>T194-Y194</f>
        <v>-160038</v>
      </c>
      <c r="AA194" s="47">
        <f>Z194/Y194</f>
        <v>-1</v>
      </c>
      <c r="AB194" s="60"/>
    </row>
    <row r="195" spans="2:77" ht="14.4" customHeight="1">
      <c r="B195" s="4">
        <v>63</v>
      </c>
      <c r="C195" s="38" t="s">
        <v>541</v>
      </c>
      <c r="D195" s="5" t="str">
        <f>REPLACE(C195,1,3, )</f>
        <v xml:space="preserve"> 903</v>
      </c>
      <c r="E195" s="6" t="s">
        <v>541</v>
      </c>
      <c r="F195" s="7">
        <f>IF(C195=E195,0,1)</f>
        <v>0</v>
      </c>
      <c r="G195" s="8" t="s">
        <v>298</v>
      </c>
      <c r="H195" s="8" t="s">
        <v>314</v>
      </c>
      <c r="I195" s="8" t="s">
        <v>542</v>
      </c>
      <c r="J195" s="12">
        <v>134000</v>
      </c>
      <c r="K195" s="13">
        <f>J195-M195</f>
        <v>6250</v>
      </c>
      <c r="L195" s="7" t="s">
        <v>23</v>
      </c>
      <c r="M195" s="14">
        <f>J195-N195</f>
        <v>127750</v>
      </c>
      <c r="N195" s="15">
        <f>2000+200+350+600+3100</f>
        <v>6250</v>
      </c>
      <c r="O195" s="39">
        <f>M195+N195</f>
        <v>134000</v>
      </c>
      <c r="P195" s="95"/>
      <c r="Q195" s="77" t="s">
        <v>1377</v>
      </c>
      <c r="R195" s="36"/>
      <c r="S195" s="36">
        <f>R195+O195</f>
        <v>134000</v>
      </c>
      <c r="T195" s="36">
        <f>S195/0.7</f>
        <v>191428.57142857145</v>
      </c>
      <c r="U195" s="40">
        <f>T195/0.875</f>
        <v>218775.51020408166</v>
      </c>
      <c r="V195" s="41">
        <f>(U195-T195)/U195</f>
        <v>0.125</v>
      </c>
      <c r="W195" s="40">
        <f>(ROUNDUP((U195/100),0))*100</f>
        <v>218800</v>
      </c>
      <c r="X195" s="42">
        <f>(T195-O195)/T195</f>
        <v>0.3000000000000001</v>
      </c>
      <c r="Y195" s="45"/>
      <c r="Z195" s="46"/>
      <c r="AA195" s="47"/>
      <c r="AB195" s="60"/>
    </row>
    <row r="196" spans="2:77" ht="14.4" customHeight="1">
      <c r="B196" s="4">
        <v>64</v>
      </c>
      <c r="C196" s="38" t="s">
        <v>543</v>
      </c>
      <c r="D196" s="5" t="str">
        <f>REPLACE(C196,1,3, )</f>
        <v xml:space="preserve"> 587</v>
      </c>
      <c r="E196" s="6" t="s">
        <v>543</v>
      </c>
      <c r="F196" s="7">
        <f>IF(C196=E196,0,1)</f>
        <v>0</v>
      </c>
      <c r="G196" s="8" t="s">
        <v>298</v>
      </c>
      <c r="H196" s="8" t="s">
        <v>314</v>
      </c>
      <c r="I196" s="8" t="s">
        <v>499</v>
      </c>
      <c r="J196" s="12">
        <f>M196</f>
        <v>120000</v>
      </c>
      <c r="K196" s="13">
        <f>J196-M196</f>
        <v>0</v>
      </c>
      <c r="L196" s="17" t="s">
        <v>22</v>
      </c>
      <c r="M196" s="18">
        <v>120000</v>
      </c>
      <c r="N196" s="15">
        <f>2000+200+350+600+3100</f>
        <v>6250</v>
      </c>
      <c r="O196" s="39">
        <f>M196+N196</f>
        <v>126250</v>
      </c>
      <c r="P196" s="95"/>
      <c r="Q196" s="77" t="s">
        <v>1366</v>
      </c>
      <c r="R196" s="36"/>
      <c r="S196" s="36">
        <f>R196+O196</f>
        <v>126250</v>
      </c>
      <c r="T196" s="36">
        <f>S196/0.7</f>
        <v>180357.14285714287</v>
      </c>
      <c r="U196" s="40">
        <f>T196/0.875</f>
        <v>206122.44897959186</v>
      </c>
      <c r="V196" s="41">
        <f>(U196-T196)/U196</f>
        <v>0.12500000000000006</v>
      </c>
      <c r="W196" s="40">
        <f>(ROUNDUP((U196/100),0))*100</f>
        <v>206200</v>
      </c>
      <c r="X196" s="42">
        <f>(T196-O196)/T196</f>
        <v>0.30000000000000004</v>
      </c>
      <c r="Y196" s="45"/>
      <c r="Z196" s="46"/>
      <c r="AA196" s="47"/>
      <c r="AB196" s="60"/>
      <c r="BY196" s="78"/>
    </row>
    <row r="197" spans="2:77" ht="14.4" customHeight="1">
      <c r="B197" s="4">
        <v>65</v>
      </c>
      <c r="C197" s="38" t="s">
        <v>544</v>
      </c>
      <c r="D197" s="5" t="str">
        <f>REPLACE(C197,1,3, )</f>
        <v xml:space="preserve"> 497</v>
      </c>
      <c r="E197" s="6" t="s">
        <v>544</v>
      </c>
      <c r="F197" s="7">
        <f>IF(C197=E197,0,1)</f>
        <v>0</v>
      </c>
      <c r="G197" s="8" t="s">
        <v>298</v>
      </c>
      <c r="H197" s="8" t="s">
        <v>314</v>
      </c>
      <c r="I197" s="8" t="s">
        <v>531</v>
      </c>
      <c r="J197" s="12">
        <v>150000</v>
      </c>
      <c r="K197" s="13">
        <f>J197-M197</f>
        <v>6250</v>
      </c>
      <c r="L197" s="7" t="s">
        <v>23</v>
      </c>
      <c r="M197" s="14">
        <f>J197-N197</f>
        <v>143750</v>
      </c>
      <c r="N197" s="15">
        <f>2000+3100+200+350+600</f>
        <v>6250</v>
      </c>
      <c r="O197" s="39">
        <f>M197+N197</f>
        <v>150000</v>
      </c>
      <c r="P197" s="95"/>
      <c r="Q197" s="77" t="s">
        <v>1510</v>
      </c>
      <c r="R197" s="36"/>
      <c r="S197" s="36">
        <f>R197+O197</f>
        <v>150000</v>
      </c>
      <c r="T197" s="36">
        <f>S197/0.7</f>
        <v>214285.71428571429</v>
      </c>
      <c r="U197" s="40">
        <f>T197/0.875</f>
        <v>244897.95918367346</v>
      </c>
      <c r="V197" s="41">
        <f>(U197-T197)/U197</f>
        <v>0.12499999999999996</v>
      </c>
      <c r="W197" s="40">
        <f>(ROUNDUP((U197/100),0))*100</f>
        <v>244900</v>
      </c>
      <c r="X197" s="42">
        <f>(T197-O197)/T197</f>
        <v>0.3</v>
      </c>
      <c r="Y197" s="45"/>
      <c r="Z197" s="46"/>
      <c r="AA197" s="47"/>
      <c r="AB197" s="60"/>
    </row>
    <row r="198" spans="2:77" ht="14.4" customHeight="1">
      <c r="B198" s="4">
        <v>66</v>
      </c>
      <c r="C198" s="38" t="s">
        <v>473</v>
      </c>
      <c r="D198" s="5" t="str">
        <f>REPLACE(C198,1,3, )</f>
        <v xml:space="preserve"> 984</v>
      </c>
      <c r="E198" s="6" t="s">
        <v>473</v>
      </c>
      <c r="F198" s="7">
        <f>IF(C198=E198,0,1)</f>
        <v>0</v>
      </c>
      <c r="G198" s="8" t="s">
        <v>298</v>
      </c>
      <c r="H198" s="8" t="s">
        <v>314</v>
      </c>
      <c r="I198" s="8" t="s">
        <v>542</v>
      </c>
      <c r="J198" s="12">
        <v>134000</v>
      </c>
      <c r="K198" s="13">
        <f>J198-M198</f>
        <v>6250</v>
      </c>
      <c r="L198" s="7" t="s">
        <v>23</v>
      </c>
      <c r="M198" s="14">
        <f>J198-N198</f>
        <v>127750</v>
      </c>
      <c r="N198" s="15">
        <f>2000+200+350+600+3100</f>
        <v>6250</v>
      </c>
      <c r="O198" s="39">
        <f>M198+N198</f>
        <v>134000</v>
      </c>
      <c r="P198" s="95"/>
      <c r="Q198" s="77" t="s">
        <v>1377</v>
      </c>
      <c r="R198" s="36"/>
      <c r="S198" s="36">
        <f>R198+O198</f>
        <v>134000</v>
      </c>
      <c r="T198" s="36">
        <f>S198/0.7</f>
        <v>191428.57142857145</v>
      </c>
      <c r="U198" s="40">
        <f>T198/0.875</f>
        <v>218775.51020408166</v>
      </c>
      <c r="V198" s="41">
        <f>(U198-T198)/U198</f>
        <v>0.125</v>
      </c>
      <c r="W198" s="40">
        <f>(ROUNDUP((U198/100),0))*100</f>
        <v>218800</v>
      </c>
      <c r="X198" s="42">
        <f>(T198-O198)/T198</f>
        <v>0.3000000000000001</v>
      </c>
      <c r="Y198" s="45"/>
      <c r="Z198" s="46"/>
      <c r="AA198" s="47"/>
      <c r="AB198" s="60"/>
    </row>
    <row r="199" spans="2:77" ht="14.4" customHeight="1">
      <c r="B199" s="4">
        <v>67</v>
      </c>
      <c r="C199" s="38" t="s">
        <v>545</v>
      </c>
      <c r="D199" s="5" t="str">
        <f>REPLACE(C199,1,3, )</f>
        <v xml:space="preserve"> 461</v>
      </c>
      <c r="E199" s="6" t="s">
        <v>545</v>
      </c>
      <c r="F199" s="7">
        <f>IF(C199=E199,0,1)</f>
        <v>0</v>
      </c>
      <c r="G199" s="8" t="s">
        <v>298</v>
      </c>
      <c r="H199" s="8" t="s">
        <v>314</v>
      </c>
      <c r="I199" s="8" t="s">
        <v>531</v>
      </c>
      <c r="J199" s="12">
        <v>150000</v>
      </c>
      <c r="K199" s="13">
        <f>J199-M199</f>
        <v>6250</v>
      </c>
      <c r="L199" s="7" t="s">
        <v>23</v>
      </c>
      <c r="M199" s="14">
        <f>J199-N199</f>
        <v>143750</v>
      </c>
      <c r="N199" s="15">
        <f>2000+3100+200+350+600</f>
        <v>6250</v>
      </c>
      <c r="O199" s="39">
        <f>M199+N199</f>
        <v>150000</v>
      </c>
      <c r="P199" s="95"/>
      <c r="Q199" s="77" t="s">
        <v>1510</v>
      </c>
      <c r="R199" s="36"/>
      <c r="S199" s="36">
        <f>R199+O199</f>
        <v>150000</v>
      </c>
      <c r="T199" s="36">
        <f>S199/0.7</f>
        <v>214285.71428571429</v>
      </c>
      <c r="U199" s="40">
        <f>T199/0.875</f>
        <v>244897.95918367346</v>
      </c>
      <c r="V199" s="41">
        <f>(U199-T199)/U199</f>
        <v>0.12499999999999996</v>
      </c>
      <c r="W199" s="40">
        <f>(ROUNDUP((U199/100),0))*100</f>
        <v>244900</v>
      </c>
      <c r="X199" s="42">
        <f>(T199-O199)/T199</f>
        <v>0.3</v>
      </c>
      <c r="Y199" s="45"/>
      <c r="Z199" s="46"/>
      <c r="AA199" s="47"/>
      <c r="AB199" s="60"/>
    </row>
    <row r="200" spans="2:77" ht="14.4" customHeight="1">
      <c r="B200" s="4">
        <v>68</v>
      </c>
      <c r="C200" s="38" t="s">
        <v>546</v>
      </c>
      <c r="D200" s="5" t="str">
        <f>REPLACE(C200,1,3, )</f>
        <v xml:space="preserve"> 686</v>
      </c>
      <c r="E200" s="6" t="s">
        <v>546</v>
      </c>
      <c r="F200" s="7">
        <f>IF(C200=E200,0,1)</f>
        <v>0</v>
      </c>
      <c r="G200" s="8" t="s">
        <v>20</v>
      </c>
      <c r="H200" s="8" t="s">
        <v>314</v>
      </c>
      <c r="I200" s="8" t="s">
        <v>491</v>
      </c>
      <c r="J200" s="12"/>
      <c r="K200" s="13">
        <f>J200-M200</f>
        <v>0</v>
      </c>
      <c r="L200" s="7"/>
      <c r="M200" s="14">
        <f>J200-N200</f>
        <v>0</v>
      </c>
      <c r="N200" s="15"/>
      <c r="O200" s="39">
        <f>M200+N200</f>
        <v>0</v>
      </c>
      <c r="P200" s="95"/>
      <c r="Q200" s="3"/>
      <c r="R200" s="36"/>
      <c r="S200" s="36">
        <f>R200+O200</f>
        <v>0</v>
      </c>
      <c r="T200" s="36">
        <f>S200/0.7</f>
        <v>0</v>
      </c>
      <c r="U200" s="40">
        <f>T200/0.875</f>
        <v>0</v>
      </c>
      <c r="V200" s="41" t="e">
        <f>(U200-T200)/U200</f>
        <v>#DIV/0!</v>
      </c>
      <c r="W200" s="40">
        <f>(ROUNDUP((U200/100),0))*100</f>
        <v>0</v>
      </c>
      <c r="X200" s="42" t="e">
        <f>(T200-O200)/T200</f>
        <v>#DIV/0!</v>
      </c>
      <c r="Y200" s="45">
        <v>187163</v>
      </c>
      <c r="Z200" s="46">
        <f>T200-Y200</f>
        <v>-187163</v>
      </c>
      <c r="AA200" s="47">
        <f>Z200/Y200</f>
        <v>-1</v>
      </c>
      <c r="AB200" s="60"/>
    </row>
    <row r="201" spans="2:77" ht="14.4" customHeight="1">
      <c r="B201" s="4">
        <v>69</v>
      </c>
      <c r="C201" s="38" t="s">
        <v>547</v>
      </c>
      <c r="D201" s="5" t="str">
        <f>REPLACE(C201,1,3, )</f>
        <v xml:space="preserve"> 490</v>
      </c>
      <c r="E201" s="6" t="s">
        <v>547</v>
      </c>
      <c r="F201" s="7">
        <f>IF(C201=E201,0,1)</f>
        <v>0</v>
      </c>
      <c r="G201" s="8" t="s">
        <v>298</v>
      </c>
      <c r="H201" s="8" t="s">
        <v>314</v>
      </c>
      <c r="I201" s="8" t="s">
        <v>531</v>
      </c>
      <c r="J201" s="12">
        <v>150000</v>
      </c>
      <c r="K201" s="13">
        <f>J201-M201</f>
        <v>6250</v>
      </c>
      <c r="L201" s="7" t="s">
        <v>23</v>
      </c>
      <c r="M201" s="14">
        <f>J201-N201</f>
        <v>143750</v>
      </c>
      <c r="N201" s="15">
        <f>2000+3100+200+350+600</f>
        <v>6250</v>
      </c>
      <c r="O201" s="39">
        <f>M201+N201</f>
        <v>150000</v>
      </c>
      <c r="P201" s="95"/>
      <c r="Q201" s="77" t="s">
        <v>1510</v>
      </c>
      <c r="R201" s="36"/>
      <c r="S201" s="36">
        <f>R201+O201</f>
        <v>150000</v>
      </c>
      <c r="T201" s="36">
        <f>S201/0.7</f>
        <v>214285.71428571429</v>
      </c>
      <c r="U201" s="40">
        <f>T201/0.875</f>
        <v>244897.95918367346</v>
      </c>
      <c r="V201" s="41">
        <f>(U201-T201)/U201</f>
        <v>0.12499999999999996</v>
      </c>
      <c r="W201" s="40">
        <f>(ROUNDUP((U201/100),0))*100</f>
        <v>244900</v>
      </c>
      <c r="X201" s="42">
        <f>(T201-O201)/T201</f>
        <v>0.3</v>
      </c>
      <c r="Y201" s="45"/>
      <c r="Z201" s="46"/>
      <c r="AA201" s="47"/>
      <c r="AB201" s="60"/>
    </row>
    <row r="202" spans="2:77" ht="14.4" customHeight="1">
      <c r="B202" s="4">
        <v>70</v>
      </c>
      <c r="C202" s="38" t="s">
        <v>548</v>
      </c>
      <c r="D202" s="5" t="str">
        <f>REPLACE(C202,1,3, )</f>
        <v xml:space="preserve"> 646</v>
      </c>
      <c r="E202" s="6" t="s">
        <v>548</v>
      </c>
      <c r="F202" s="7">
        <f>IF(C202=E202,0,1)</f>
        <v>0</v>
      </c>
      <c r="G202" s="8" t="s">
        <v>20</v>
      </c>
      <c r="H202" s="8" t="s">
        <v>314</v>
      </c>
      <c r="I202" s="8" t="s">
        <v>491</v>
      </c>
      <c r="J202" s="12"/>
      <c r="K202" s="13">
        <f>J202-M202</f>
        <v>0</v>
      </c>
      <c r="L202" s="7"/>
      <c r="M202" s="14">
        <f>J202-N202</f>
        <v>0</v>
      </c>
      <c r="N202" s="15"/>
      <c r="O202" s="39">
        <f>M202+N202</f>
        <v>0</v>
      </c>
      <c r="P202" s="95"/>
      <c r="Q202" s="3"/>
      <c r="R202" s="36"/>
      <c r="S202" s="36">
        <f>R202+O202</f>
        <v>0</v>
      </c>
      <c r="T202" s="36">
        <f>S202/0.7</f>
        <v>0</v>
      </c>
      <c r="U202" s="40">
        <f>T202/0.875</f>
        <v>0</v>
      </c>
      <c r="V202" s="41" t="e">
        <f>(U202-T202)/U202</f>
        <v>#DIV/0!</v>
      </c>
      <c r="W202" s="40">
        <f>(ROUNDUP((U202/100),0))*100</f>
        <v>0</v>
      </c>
      <c r="X202" s="42" t="e">
        <f>(T202-O202)/T202</f>
        <v>#DIV/0!</v>
      </c>
      <c r="Y202" s="45">
        <v>187163</v>
      </c>
      <c r="Z202" s="46">
        <f>T202-Y202</f>
        <v>-187163</v>
      </c>
      <c r="AA202" s="47">
        <f>Z202/Y202</f>
        <v>-1</v>
      </c>
      <c r="AB202" s="60"/>
    </row>
    <row r="203" spans="2:77" ht="14.4" customHeight="1">
      <c r="B203" s="4">
        <v>71</v>
      </c>
      <c r="C203" s="38" t="s">
        <v>549</v>
      </c>
      <c r="D203" s="5" t="str">
        <f>REPLACE(C203,1,3, )</f>
        <v xml:space="preserve"> 133</v>
      </c>
      <c r="E203" s="6" t="s">
        <v>549</v>
      </c>
      <c r="F203" s="7">
        <f>IF(C203=E203,0,1)</f>
        <v>0</v>
      </c>
      <c r="G203" s="8" t="s">
        <v>298</v>
      </c>
      <c r="H203" s="8" t="s">
        <v>314</v>
      </c>
      <c r="I203" s="8" t="s">
        <v>550</v>
      </c>
      <c r="J203" s="12">
        <v>140000</v>
      </c>
      <c r="K203" s="13">
        <f>J203-M203</f>
        <v>6250</v>
      </c>
      <c r="L203" s="7"/>
      <c r="M203" s="14">
        <f>J203-N203</f>
        <v>133750</v>
      </c>
      <c r="N203" s="15">
        <f>2000+200+350+600+3100</f>
        <v>6250</v>
      </c>
      <c r="O203" s="39">
        <f>M203+N203</f>
        <v>140000</v>
      </c>
      <c r="P203" s="95"/>
      <c r="Q203" s="77" t="s">
        <v>1377</v>
      </c>
      <c r="R203" s="36"/>
      <c r="S203" s="36">
        <f>R203+O203</f>
        <v>140000</v>
      </c>
      <c r="T203" s="36">
        <f>S203/0.7</f>
        <v>200000</v>
      </c>
      <c r="U203" s="40">
        <f>T203/0.875</f>
        <v>228571.42857142858</v>
      </c>
      <c r="V203" s="41">
        <f>(U203-T203)/U203</f>
        <v>0.12500000000000003</v>
      </c>
      <c r="W203" s="40">
        <f>(ROUNDUP((U203/100),0))*100</f>
        <v>228600</v>
      </c>
      <c r="X203" s="42">
        <f>(T203-O203)/T203</f>
        <v>0.3</v>
      </c>
      <c r="Y203" s="45"/>
      <c r="Z203" s="46"/>
      <c r="AA203" s="47"/>
      <c r="AB203" s="60"/>
    </row>
    <row r="204" spans="2:77" ht="14.4" customHeight="1">
      <c r="B204" s="4">
        <v>72</v>
      </c>
      <c r="C204" s="38" t="s">
        <v>551</v>
      </c>
      <c r="D204" s="5" t="str">
        <f>REPLACE(C204,1,3, )</f>
        <v xml:space="preserve"> 257</v>
      </c>
      <c r="E204" s="6" t="s">
        <v>551</v>
      </c>
      <c r="F204" s="7">
        <f>IF(C204=E204,0,1)</f>
        <v>0</v>
      </c>
      <c r="G204" s="8" t="s">
        <v>20</v>
      </c>
      <c r="H204" s="8" t="s">
        <v>314</v>
      </c>
      <c r="I204" s="8" t="s">
        <v>542</v>
      </c>
      <c r="J204" s="12">
        <v>119000</v>
      </c>
      <c r="K204" s="13">
        <f>J204-M204</f>
        <v>6250</v>
      </c>
      <c r="L204" s="7" t="s">
        <v>23</v>
      </c>
      <c r="M204" s="14">
        <f>J204-N204</f>
        <v>112750</v>
      </c>
      <c r="N204" s="15">
        <f>2000+200+350+600+3100</f>
        <v>6250</v>
      </c>
      <c r="O204" s="39">
        <f>M204+N204</f>
        <v>119000</v>
      </c>
      <c r="P204" s="95"/>
      <c r="Q204" s="77" t="s">
        <v>1377</v>
      </c>
      <c r="R204" s="36"/>
      <c r="S204" s="36">
        <f>R204+O204</f>
        <v>119000</v>
      </c>
      <c r="T204" s="36">
        <f>S204/0.7</f>
        <v>170000</v>
      </c>
      <c r="U204" s="40">
        <f>T204/0.875</f>
        <v>194285.71428571429</v>
      </c>
      <c r="V204" s="41">
        <f>(U204-T204)/U204</f>
        <v>0.12500000000000003</v>
      </c>
      <c r="W204" s="40">
        <f>(ROUNDUP((U204/100),0))*100</f>
        <v>194300</v>
      </c>
      <c r="X204" s="42">
        <f>(T204-O204)/T204</f>
        <v>0.3</v>
      </c>
      <c r="Y204" s="45">
        <v>165725</v>
      </c>
      <c r="Z204" s="46">
        <f>T204-Y204</f>
        <v>4275</v>
      </c>
      <c r="AA204" s="47">
        <f>Z204/Y204</f>
        <v>2.5795745964700557E-2</v>
      </c>
      <c r="AB204" s="60"/>
    </row>
    <row r="205" spans="2:77" ht="14.4" customHeight="1">
      <c r="B205" s="4">
        <v>73</v>
      </c>
      <c r="C205" s="5" t="s">
        <v>475</v>
      </c>
      <c r="D205" s="5" t="str">
        <f>REPLACE(C205,1,3, )</f>
        <v xml:space="preserve"> 223</v>
      </c>
      <c r="E205" s="6" t="s">
        <v>475</v>
      </c>
      <c r="F205" s="7">
        <f>IF(C205=E205,0,1)</f>
        <v>0</v>
      </c>
      <c r="G205" s="11" t="s">
        <v>479</v>
      </c>
      <c r="H205" s="11" t="s">
        <v>314</v>
      </c>
      <c r="I205" s="11" t="s">
        <v>344</v>
      </c>
      <c r="J205" s="12">
        <v>0</v>
      </c>
      <c r="K205" s="13">
        <f>J205-M205</f>
        <v>0</v>
      </c>
      <c r="L205" s="7" t="s">
        <v>469</v>
      </c>
      <c r="M205" s="14">
        <f>J205-N205</f>
        <v>0</v>
      </c>
      <c r="N205" s="15">
        <v>0</v>
      </c>
      <c r="O205" s="39">
        <f>M205+N205</f>
        <v>0</v>
      </c>
      <c r="P205" s="95"/>
      <c r="Q205" s="3"/>
      <c r="R205" s="36"/>
      <c r="S205" s="36">
        <f>R205+O205</f>
        <v>0</v>
      </c>
      <c r="T205" s="36">
        <f>S205/0.7</f>
        <v>0</v>
      </c>
      <c r="U205" s="40">
        <f>T205/0.875</f>
        <v>0</v>
      </c>
      <c r="V205" s="41" t="e">
        <f>(U205-T205)/U205</f>
        <v>#DIV/0!</v>
      </c>
      <c r="W205" s="40">
        <f>(ROUNDUP((U205/100),0))*100</f>
        <v>0</v>
      </c>
      <c r="X205" s="42" t="e">
        <f>(T205-O205)/T205</f>
        <v>#DIV/0!</v>
      </c>
      <c r="Y205" s="43"/>
      <c r="Z205" s="43"/>
      <c r="AA205" s="43"/>
      <c r="AB205" s="59"/>
    </row>
    <row r="206" spans="2:77" ht="14.4" customHeight="1">
      <c r="B206" s="4">
        <v>74</v>
      </c>
      <c r="C206" s="5" t="s">
        <v>188</v>
      </c>
      <c r="D206" s="5" t="str">
        <f>REPLACE(C206,1,3, )</f>
        <v xml:space="preserve"> 720</v>
      </c>
      <c r="E206" s="6" t="s">
        <v>188</v>
      </c>
      <c r="F206" s="7">
        <f>IF(C206=E206,0,1)</f>
        <v>0</v>
      </c>
      <c r="G206" s="11" t="s">
        <v>298</v>
      </c>
      <c r="H206" s="11" t="s">
        <v>314</v>
      </c>
      <c r="I206" s="11" t="s">
        <v>344</v>
      </c>
      <c r="J206" s="12">
        <v>132500</v>
      </c>
      <c r="K206" s="13">
        <f>J206-M206</f>
        <v>6250</v>
      </c>
      <c r="L206" s="7" t="s">
        <v>23</v>
      </c>
      <c r="M206" s="14">
        <f>J206-N206</f>
        <v>126250</v>
      </c>
      <c r="N206" s="15">
        <f>2000+200+350+600+3100</f>
        <v>6250</v>
      </c>
      <c r="O206" s="39">
        <f>M206+N206</f>
        <v>132500</v>
      </c>
      <c r="P206" s="95"/>
      <c r="Q206" s="3" t="s">
        <v>405</v>
      </c>
      <c r="R206" s="36"/>
      <c r="S206" s="36">
        <f>R206+O206</f>
        <v>132500</v>
      </c>
      <c r="T206" s="36">
        <f>S206/0.7</f>
        <v>189285.71428571429</v>
      </c>
      <c r="U206" s="40">
        <f>T206/0.875</f>
        <v>216326.53061224491</v>
      </c>
      <c r="V206" s="41">
        <f>(U206-T206)/U206</f>
        <v>0.12500000000000003</v>
      </c>
      <c r="W206" s="40">
        <f>(ROUNDUP((U206/100),0))*100</f>
        <v>216400</v>
      </c>
      <c r="X206" s="42">
        <f>(T206-O206)/T206</f>
        <v>0.3</v>
      </c>
      <c r="Y206" s="43"/>
      <c r="Z206" s="43"/>
      <c r="AA206" s="43"/>
      <c r="AB206" s="59"/>
    </row>
    <row r="207" spans="2:77" ht="14.4" customHeight="1">
      <c r="B207" s="4">
        <v>75</v>
      </c>
      <c r="C207" s="38" t="s">
        <v>552</v>
      </c>
      <c r="D207" s="5" t="str">
        <f>REPLACE(C207,1,3, )</f>
        <v xml:space="preserve"> 457</v>
      </c>
      <c r="E207" s="6" t="s">
        <v>552</v>
      </c>
      <c r="F207" s="7">
        <f>IF(C207=E207,0,1)</f>
        <v>0</v>
      </c>
      <c r="G207" s="8" t="s">
        <v>20</v>
      </c>
      <c r="H207" s="8" t="s">
        <v>314</v>
      </c>
      <c r="I207" s="8" t="s">
        <v>535</v>
      </c>
      <c r="J207" s="12"/>
      <c r="K207" s="13">
        <f>J207-M207</f>
        <v>0</v>
      </c>
      <c r="L207" s="7"/>
      <c r="M207" s="14">
        <f>J207-N207</f>
        <v>0</v>
      </c>
      <c r="N207" s="15"/>
      <c r="O207" s="39">
        <f>M207+N207</f>
        <v>0</v>
      </c>
      <c r="P207" s="95"/>
      <c r="Q207" s="3"/>
      <c r="R207" s="36"/>
      <c r="S207" s="36">
        <f>R207+O207</f>
        <v>0</v>
      </c>
      <c r="T207" s="36">
        <f>S207/0.7</f>
        <v>0</v>
      </c>
      <c r="U207" s="40">
        <f>T207/0.875</f>
        <v>0</v>
      </c>
      <c r="V207" s="41" t="e">
        <f>(U207-T207)/U207</f>
        <v>#DIV/0!</v>
      </c>
      <c r="W207" s="40">
        <f>(ROUNDUP((U207/100),0))*100</f>
        <v>0</v>
      </c>
      <c r="X207" s="42" t="e">
        <f>(T207-O207)/T207</f>
        <v>#DIV/0!</v>
      </c>
      <c r="Y207" s="45">
        <v>184363</v>
      </c>
      <c r="Z207" s="46">
        <f>T207-Y207</f>
        <v>-184363</v>
      </c>
      <c r="AA207" s="47">
        <f>Z207/Y207</f>
        <v>-1</v>
      </c>
      <c r="AB207" s="60"/>
    </row>
    <row r="208" spans="2:77" ht="14.4" customHeight="1">
      <c r="B208" s="4">
        <v>76</v>
      </c>
      <c r="C208" s="38" t="s">
        <v>553</v>
      </c>
      <c r="D208" s="5" t="str">
        <f>REPLACE(C208,1,3, )</f>
        <v xml:space="preserve"> 534</v>
      </c>
      <c r="E208" s="6" t="s">
        <v>553</v>
      </c>
      <c r="F208" s="7">
        <f>IF(C208=E208,0,1)</f>
        <v>0</v>
      </c>
      <c r="G208" s="8" t="s">
        <v>20</v>
      </c>
      <c r="H208" s="8" t="s">
        <v>314</v>
      </c>
      <c r="I208" s="8" t="s">
        <v>554</v>
      </c>
      <c r="J208" s="90">
        <v>126000</v>
      </c>
      <c r="K208" s="90">
        <f>J208-M208</f>
        <v>0</v>
      </c>
      <c r="L208" s="103" t="s">
        <v>1428</v>
      </c>
      <c r="M208" s="86">
        <f>J208</f>
        <v>126000</v>
      </c>
      <c r="N208" s="87">
        <f>2000+3000+500+200+300</f>
        <v>6000</v>
      </c>
      <c r="O208" s="101">
        <f>M208+N208</f>
        <v>132000</v>
      </c>
      <c r="P208" s="95" t="s">
        <v>1427</v>
      </c>
      <c r="Q208" s="88" t="s">
        <v>1413</v>
      </c>
      <c r="R208" s="36"/>
      <c r="S208" s="36">
        <f>R208+O208</f>
        <v>132000</v>
      </c>
      <c r="T208" s="36">
        <f>S208/0.7</f>
        <v>188571.42857142858</v>
      </c>
      <c r="U208" s="40">
        <f>T208/0.875</f>
        <v>215510.20408163266</v>
      </c>
      <c r="V208" s="41">
        <f>(U208-T208)/U208</f>
        <v>0.125</v>
      </c>
      <c r="W208" s="40">
        <f>(ROUNDUP((U208/100),0))*100</f>
        <v>215600</v>
      </c>
      <c r="X208" s="42">
        <f>(T208-O208)/T208</f>
        <v>0.30000000000000004</v>
      </c>
      <c r="Y208" s="45">
        <v>190050</v>
      </c>
      <c r="Z208" s="46">
        <f>T208-Y208</f>
        <v>-1478.5714285714203</v>
      </c>
      <c r="AA208" s="47">
        <f>Z208/Y208</f>
        <v>-7.7799075431277042E-3</v>
      </c>
      <c r="AB208" s="60"/>
    </row>
    <row r="209" spans="2:77" ht="14.4" customHeight="1">
      <c r="B209" s="4">
        <v>77</v>
      </c>
      <c r="C209" s="38" t="s">
        <v>555</v>
      </c>
      <c r="D209" s="5" t="str">
        <f>REPLACE(C209,1,3, )</f>
        <v xml:space="preserve"> 881</v>
      </c>
      <c r="E209" s="6" t="s">
        <v>555</v>
      </c>
      <c r="F209" s="7">
        <f>IF(C209=E209,0,1)</f>
        <v>0</v>
      </c>
      <c r="G209" s="8" t="s">
        <v>298</v>
      </c>
      <c r="H209" s="8" t="s">
        <v>314</v>
      </c>
      <c r="I209" s="8" t="s">
        <v>538</v>
      </c>
      <c r="J209" s="12">
        <v>134000</v>
      </c>
      <c r="K209" s="13">
        <f>J209-M209</f>
        <v>6250</v>
      </c>
      <c r="L209" s="7" t="s">
        <v>23</v>
      </c>
      <c r="M209" s="14">
        <f>J209-N209</f>
        <v>127750</v>
      </c>
      <c r="N209" s="15">
        <f>2000+200+350+600+3100</f>
        <v>6250</v>
      </c>
      <c r="O209" s="39">
        <f>M209+N209</f>
        <v>134000</v>
      </c>
      <c r="P209" s="95"/>
      <c r="Q209" s="77" t="s">
        <v>1377</v>
      </c>
      <c r="R209" s="36"/>
      <c r="S209" s="36">
        <f>R209+O209</f>
        <v>134000</v>
      </c>
      <c r="T209" s="36">
        <f>S209/0.7</f>
        <v>191428.57142857145</v>
      </c>
      <c r="U209" s="40">
        <f>T209/0.875</f>
        <v>218775.51020408166</v>
      </c>
      <c r="V209" s="41">
        <f>(U209-T209)/U209</f>
        <v>0.125</v>
      </c>
      <c r="W209" s="40">
        <f>(ROUNDUP((U209/100),0))*100</f>
        <v>218800</v>
      </c>
      <c r="X209" s="42">
        <f>(T209-O209)/T209</f>
        <v>0.3000000000000001</v>
      </c>
      <c r="Y209" s="43"/>
      <c r="Z209" s="43"/>
      <c r="AA209" s="43"/>
      <c r="AB209" s="59"/>
    </row>
    <row r="210" spans="2:77" ht="14.4" customHeight="1">
      <c r="B210" s="4">
        <v>78</v>
      </c>
      <c r="C210" s="38" t="s">
        <v>556</v>
      </c>
      <c r="D210" s="5" t="str">
        <f>REPLACE(C210,1,3, )</f>
        <v xml:space="preserve"> 172</v>
      </c>
      <c r="E210" s="6" t="s">
        <v>556</v>
      </c>
      <c r="F210" s="7">
        <f>IF(C210=E210,0,1)</f>
        <v>0</v>
      </c>
      <c r="G210" s="8" t="s">
        <v>298</v>
      </c>
      <c r="H210" s="8" t="s">
        <v>314</v>
      </c>
      <c r="I210" s="8" t="s">
        <v>512</v>
      </c>
      <c r="J210" s="12"/>
      <c r="K210" s="13">
        <f>J210-M210</f>
        <v>0</v>
      </c>
      <c r="L210" s="7"/>
      <c r="M210" s="14">
        <f>J210-N210</f>
        <v>0</v>
      </c>
      <c r="N210" s="15"/>
      <c r="O210" s="39">
        <f>M210+N210</f>
        <v>0</v>
      </c>
      <c r="P210" s="95"/>
      <c r="Q210" s="3"/>
      <c r="R210" s="36"/>
      <c r="S210" s="36">
        <f>R210+O210</f>
        <v>0</v>
      </c>
      <c r="T210" s="36">
        <f>S210/0.7</f>
        <v>0</v>
      </c>
      <c r="U210" s="40">
        <f>T210/0.875</f>
        <v>0</v>
      </c>
      <c r="V210" s="41" t="e">
        <f>(U210-T210)/U210</f>
        <v>#DIV/0!</v>
      </c>
      <c r="W210" s="40">
        <f>(ROUNDUP((U210/100),0))*100</f>
        <v>0</v>
      </c>
      <c r="X210" s="42" t="e">
        <f>(T210-O210)/T210</f>
        <v>#DIV/0!</v>
      </c>
      <c r="Y210" s="43"/>
      <c r="Z210" s="43"/>
      <c r="AA210" s="43"/>
      <c r="AB210" s="159" t="s">
        <v>1568</v>
      </c>
      <c r="AC210" s="165">
        <v>175102.48447204972</v>
      </c>
      <c r="AD210" s="151"/>
      <c r="AE210" s="151"/>
      <c r="AF210" s="152"/>
      <c r="AG210" s="149">
        <v>199947</v>
      </c>
      <c r="AH210" s="156">
        <v>177947</v>
      </c>
      <c r="AI210" s="151"/>
      <c r="AJ210" s="151"/>
      <c r="AK210" s="151"/>
      <c r="AL210" s="149"/>
      <c r="AM210" s="151"/>
      <c r="AN210" s="151"/>
      <c r="AO210" s="151"/>
      <c r="AP210" s="149"/>
      <c r="AQ210" s="151"/>
      <c r="AR210" s="151"/>
      <c r="AS210" s="151">
        <v>173809</v>
      </c>
      <c r="AT210" s="155">
        <v>166026</v>
      </c>
      <c r="AU210" s="151"/>
      <c r="AV210" s="151"/>
      <c r="AW210" s="149"/>
      <c r="AX210" s="151"/>
      <c r="AY210" s="151"/>
      <c r="AZ210" s="151">
        <v>181885</v>
      </c>
      <c r="BA210" s="155">
        <v>170653</v>
      </c>
      <c r="BB210" s="151"/>
      <c r="BC210" s="151"/>
      <c r="BD210" s="151"/>
      <c r="BE210" s="149"/>
      <c r="BF210" s="151"/>
      <c r="BG210" s="151"/>
      <c r="BH210" s="151">
        <v>215612</v>
      </c>
      <c r="BI210" s="156">
        <v>219509</v>
      </c>
      <c r="BJ210" s="151"/>
      <c r="BK210" s="151"/>
      <c r="BL210" s="151"/>
      <c r="BM210" s="149"/>
      <c r="BN210" s="151"/>
      <c r="BO210" s="151"/>
      <c r="BP210" s="151"/>
      <c r="BQ210" s="149"/>
      <c r="BR210" s="151"/>
      <c r="BS210" s="151"/>
      <c r="BT210" s="151"/>
      <c r="BU210" s="149"/>
      <c r="BV210" s="151"/>
      <c r="BW210" s="151"/>
      <c r="BX210" s="153"/>
    </row>
    <row r="211" spans="2:77" ht="14.4" customHeight="1">
      <c r="B211" s="4">
        <v>43</v>
      </c>
      <c r="C211" s="5" t="s">
        <v>187</v>
      </c>
      <c r="D211" s="5" t="str">
        <f>REPLACE(C211,1,3, )</f>
        <v xml:space="preserve"> 435</v>
      </c>
      <c r="E211" s="6" t="s">
        <v>187</v>
      </c>
      <c r="F211" s="7">
        <f>IF(C211=E211,0,1)</f>
        <v>0</v>
      </c>
      <c r="G211" s="11" t="s">
        <v>298</v>
      </c>
      <c r="H211" s="11" t="s">
        <v>1535</v>
      </c>
      <c r="I211" s="11" t="s">
        <v>343</v>
      </c>
      <c r="J211" s="12">
        <v>68000</v>
      </c>
      <c r="K211" s="13">
        <f>J211-M211</f>
        <v>3900</v>
      </c>
      <c r="L211" s="7" t="s">
        <v>23</v>
      </c>
      <c r="M211" s="14">
        <f>J211-N211</f>
        <v>64100</v>
      </c>
      <c r="N211" s="15">
        <f>2000+200+350+600+750</f>
        <v>3900</v>
      </c>
      <c r="O211" s="39">
        <f>M211+N211</f>
        <v>68000</v>
      </c>
      <c r="P211" s="95"/>
      <c r="Q211" s="3" t="s">
        <v>404</v>
      </c>
      <c r="R211" s="36"/>
      <c r="S211" s="36">
        <f>R211+O211</f>
        <v>68000</v>
      </c>
      <c r="T211" s="36">
        <f>S211/0.7</f>
        <v>97142.857142857145</v>
      </c>
      <c r="U211" s="40">
        <f>T211/0.875</f>
        <v>111020.40816326531</v>
      </c>
      <c r="V211" s="41">
        <f>(U211-T211)/U211</f>
        <v>0.12500000000000003</v>
      </c>
      <c r="W211" s="40">
        <f>(ROUNDUP((U211/100),0))*100</f>
        <v>111100</v>
      </c>
      <c r="X211" s="42">
        <f>(T211-O211)/T211</f>
        <v>0.3</v>
      </c>
      <c r="Y211" s="43"/>
      <c r="Z211" s="43"/>
      <c r="AA211" s="43"/>
      <c r="AB211" s="59"/>
    </row>
    <row r="212" spans="2:77" ht="14.4" customHeight="1">
      <c r="B212" s="4">
        <v>45</v>
      </c>
      <c r="C212" s="5" t="s">
        <v>235</v>
      </c>
      <c r="D212" s="5" t="str">
        <f>REPLACE(C212,1,3, )</f>
        <v xml:space="preserve"> 823</v>
      </c>
      <c r="E212" s="6" t="s">
        <v>235</v>
      </c>
      <c r="F212" s="7">
        <f>IF(C212=E212,0,1)</f>
        <v>0</v>
      </c>
      <c r="G212" s="11" t="s">
        <v>298</v>
      </c>
      <c r="H212" s="11" t="s">
        <v>1535</v>
      </c>
      <c r="I212" s="11" t="s">
        <v>357</v>
      </c>
      <c r="J212" s="12">
        <v>72500</v>
      </c>
      <c r="K212" s="13">
        <f>J212-M212</f>
        <v>3900</v>
      </c>
      <c r="L212" s="7" t="s">
        <v>23</v>
      </c>
      <c r="M212" s="14">
        <f>J212-N212</f>
        <v>68600</v>
      </c>
      <c r="N212" s="15">
        <f>2000+200+350+600+750</f>
        <v>3900</v>
      </c>
      <c r="O212" s="39">
        <f>M212+N212</f>
        <v>72500</v>
      </c>
      <c r="P212" s="95"/>
      <c r="Q212" s="3" t="s">
        <v>427</v>
      </c>
      <c r="R212" s="36"/>
      <c r="S212" s="36">
        <f>R212+O212</f>
        <v>72500</v>
      </c>
      <c r="T212" s="36">
        <f>S212/0.7</f>
        <v>103571.42857142858</v>
      </c>
      <c r="U212" s="40">
        <f>T212/0.875</f>
        <v>118367.34693877552</v>
      </c>
      <c r="V212" s="41">
        <f>(U212-T212)/U212</f>
        <v>0.12499999999999999</v>
      </c>
      <c r="W212" s="40">
        <f>(ROUNDUP((U212/100),0))*100</f>
        <v>118400</v>
      </c>
      <c r="X212" s="42">
        <f>(T212-O212)/T212</f>
        <v>0.30000000000000004</v>
      </c>
      <c r="Y212" s="43"/>
      <c r="Z212" s="43"/>
      <c r="AA212" s="44"/>
      <c r="AB212" s="60"/>
    </row>
    <row r="213" spans="2:77" ht="14.4" customHeight="1">
      <c r="B213" s="4">
        <v>48</v>
      </c>
      <c r="C213" s="5" t="s">
        <v>182</v>
      </c>
      <c r="D213" s="5" t="str">
        <f>REPLACE(C213,1,3, )</f>
        <v xml:space="preserve"> 316</v>
      </c>
      <c r="E213" s="6" t="s">
        <v>182</v>
      </c>
      <c r="F213" s="7">
        <f>IF(C213=E213,0,1)</f>
        <v>0</v>
      </c>
      <c r="G213" s="11" t="s">
        <v>298</v>
      </c>
      <c r="H213" s="11" t="s">
        <v>1535</v>
      </c>
      <c r="I213" s="11" t="s">
        <v>343</v>
      </c>
      <c r="J213" s="12">
        <v>88000</v>
      </c>
      <c r="K213" s="13">
        <f>J213-M213</f>
        <v>6150</v>
      </c>
      <c r="L213" s="7" t="s">
        <v>23</v>
      </c>
      <c r="M213" s="14">
        <f>J213-N213</f>
        <v>81850</v>
      </c>
      <c r="N213" s="15">
        <f>2000+200+350+600+3000</f>
        <v>6150</v>
      </c>
      <c r="O213" s="39">
        <f>M213+N213</f>
        <v>88000</v>
      </c>
      <c r="P213" s="96"/>
      <c r="Q213" s="3" t="s">
        <v>403</v>
      </c>
      <c r="R213" s="36"/>
      <c r="S213" s="36">
        <f>R213+O213</f>
        <v>88000</v>
      </c>
      <c r="T213" s="36">
        <f>S213/0.7</f>
        <v>125714.28571428572</v>
      </c>
      <c r="U213" s="40">
        <f>T213/0.875</f>
        <v>143673.46938775512</v>
      </c>
      <c r="V213" s="41">
        <f>(U213-T213)/U213</f>
        <v>0.12500000000000003</v>
      </c>
      <c r="W213" s="40">
        <f>(ROUNDUP((U213/100),0))*100</f>
        <v>143700</v>
      </c>
      <c r="X213" s="42">
        <f>(T213-O213)/T213</f>
        <v>0.30000000000000004</v>
      </c>
      <c r="Y213" s="43"/>
      <c r="Z213" s="43"/>
      <c r="AA213" s="43"/>
      <c r="AB213" s="59"/>
    </row>
    <row r="214" spans="2:77" ht="14.4" customHeight="1">
      <c r="B214" s="4">
        <v>50</v>
      </c>
      <c r="C214" s="5" t="s">
        <v>184</v>
      </c>
      <c r="D214" s="5" t="str">
        <f>REPLACE(C214,1,3, )</f>
        <v xml:space="preserve"> 517</v>
      </c>
      <c r="E214" s="6" t="s">
        <v>184</v>
      </c>
      <c r="F214" s="7">
        <f>IF(C214=E214,0,1)</f>
        <v>0</v>
      </c>
      <c r="G214" s="11" t="s">
        <v>298</v>
      </c>
      <c r="H214" s="11" t="s">
        <v>1535</v>
      </c>
      <c r="I214" s="11" t="s">
        <v>343</v>
      </c>
      <c r="J214" s="12">
        <v>88000</v>
      </c>
      <c r="K214" s="13">
        <f>J214-M214</f>
        <v>6150</v>
      </c>
      <c r="L214" s="7" t="s">
        <v>23</v>
      </c>
      <c r="M214" s="14">
        <f>J214-N214</f>
        <v>81850</v>
      </c>
      <c r="N214" s="15">
        <f>2000+200+350+600+3000</f>
        <v>6150</v>
      </c>
      <c r="O214" s="39">
        <f>M214+N214</f>
        <v>88000</v>
      </c>
      <c r="P214" s="95"/>
      <c r="Q214" s="3" t="s">
        <v>403</v>
      </c>
      <c r="R214" s="36"/>
      <c r="S214" s="36">
        <f>R214+O214</f>
        <v>88000</v>
      </c>
      <c r="T214" s="36">
        <f>S214/0.7</f>
        <v>125714.28571428572</v>
      </c>
      <c r="U214" s="40">
        <f>T214/0.875</f>
        <v>143673.46938775512</v>
      </c>
      <c r="V214" s="41">
        <f>(U214-T214)/U214</f>
        <v>0.12500000000000003</v>
      </c>
      <c r="W214" s="40">
        <f>(ROUNDUP((U214/100),0))*100</f>
        <v>143700</v>
      </c>
      <c r="X214" s="42">
        <f>(T214-O214)/T214</f>
        <v>0.30000000000000004</v>
      </c>
      <c r="Y214" s="43"/>
      <c r="Z214" s="43"/>
      <c r="AA214" s="44"/>
      <c r="AB214" s="60"/>
    </row>
    <row r="215" spans="2:77" ht="14.4" customHeight="1">
      <c r="B215" s="4">
        <v>51</v>
      </c>
      <c r="C215" s="5" t="s">
        <v>25</v>
      </c>
      <c r="D215" s="5" t="str">
        <f>REPLACE(C215,1,3, )</f>
        <v xml:space="preserve"> 368</v>
      </c>
      <c r="E215" s="6" t="s">
        <v>25</v>
      </c>
      <c r="F215" s="7">
        <f>IF(C215=E215,0,1)</f>
        <v>0</v>
      </c>
      <c r="G215" s="11" t="s">
        <v>20</v>
      </c>
      <c r="H215" s="11" t="s">
        <v>1535</v>
      </c>
      <c r="I215" s="11" t="s">
        <v>343</v>
      </c>
      <c r="J215" s="12">
        <v>87500</v>
      </c>
      <c r="K215" s="13">
        <f>J215-M215</f>
        <v>6150</v>
      </c>
      <c r="L215" s="7" t="s">
        <v>23</v>
      </c>
      <c r="M215" s="14">
        <f>J215-N215</f>
        <v>81350</v>
      </c>
      <c r="N215" s="15">
        <f>2000+200+350+600+3000</f>
        <v>6150</v>
      </c>
      <c r="O215" s="39">
        <f>M215+N215</f>
        <v>87500</v>
      </c>
      <c r="P215" s="95"/>
      <c r="Q215" s="3" t="s">
        <v>403</v>
      </c>
      <c r="R215" s="36">
        <v>3000</v>
      </c>
      <c r="S215" s="36">
        <f>R215+O215</f>
        <v>90500</v>
      </c>
      <c r="T215" s="36">
        <f>S215/0.7</f>
        <v>129285.71428571429</v>
      </c>
      <c r="U215" s="40">
        <f>T215/0.875</f>
        <v>147755.10204081633</v>
      </c>
      <c r="V215" s="41">
        <f>(U215-T215)/U215</f>
        <v>0.125</v>
      </c>
      <c r="W215" s="40">
        <f>(ROUNDUP((U215/100),0))*100</f>
        <v>147800</v>
      </c>
      <c r="X215" s="42">
        <f>(T215-O215)/T215</f>
        <v>0.32320441988950277</v>
      </c>
      <c r="Y215" s="45">
        <v>126438</v>
      </c>
      <c r="Z215" s="46">
        <f>T215-Y215</f>
        <v>2847.7142857142899</v>
      </c>
      <c r="AA215" s="47">
        <f>Z215/Y215</f>
        <v>2.2522614132731378E-2</v>
      </c>
      <c r="AB215" s="60"/>
    </row>
    <row r="216" spans="2:77" ht="14.4" customHeight="1">
      <c r="B216" s="4">
        <v>53</v>
      </c>
      <c r="C216" s="5" t="s">
        <v>82</v>
      </c>
      <c r="D216" s="5" t="str">
        <f>REPLACE(C216,1,3, )</f>
        <v xml:space="preserve"> 876</v>
      </c>
      <c r="E216" s="6" t="s">
        <v>82</v>
      </c>
      <c r="F216" s="7">
        <f>IF(C216=E216,0,1)</f>
        <v>0</v>
      </c>
      <c r="G216" s="11" t="s">
        <v>20</v>
      </c>
      <c r="H216" s="11" t="s">
        <v>1535</v>
      </c>
      <c r="I216" s="11" t="s">
        <v>343</v>
      </c>
      <c r="J216" s="12">
        <v>87500</v>
      </c>
      <c r="K216" s="13">
        <f>J216-M216</f>
        <v>6150</v>
      </c>
      <c r="L216" s="7" t="s">
        <v>23</v>
      </c>
      <c r="M216" s="14">
        <f>J216-N216</f>
        <v>81350</v>
      </c>
      <c r="N216" s="15">
        <f>2000+200+350+600+3000</f>
        <v>6150</v>
      </c>
      <c r="O216" s="39">
        <f>M216+N216</f>
        <v>87500</v>
      </c>
      <c r="P216" s="95"/>
      <c r="Q216" s="3" t="s">
        <v>403</v>
      </c>
      <c r="R216" s="36"/>
      <c r="S216" s="36">
        <f>R216+O216</f>
        <v>87500</v>
      </c>
      <c r="T216" s="36">
        <f>S216/0.7</f>
        <v>125000.00000000001</v>
      </c>
      <c r="U216" s="40">
        <f>T216/0.875</f>
        <v>142857.14285714287</v>
      </c>
      <c r="V216" s="41">
        <f>(U216-T216)/U216</f>
        <v>0.12499999999999997</v>
      </c>
      <c r="W216" s="40">
        <f>(ROUNDUP((U216/100),0))*100</f>
        <v>142900</v>
      </c>
      <c r="X216" s="42">
        <f>(T216-O216)/T216</f>
        <v>0.3000000000000001</v>
      </c>
      <c r="Y216" s="45">
        <v>126438</v>
      </c>
      <c r="Z216" s="46">
        <f>T216-Y216</f>
        <v>-1437.9999999999854</v>
      </c>
      <c r="AA216" s="47">
        <f>Z216/Y216</f>
        <v>-1.1373163131336983E-2</v>
      </c>
      <c r="AB216" s="60"/>
    </row>
    <row r="217" spans="2:77" ht="14.4" customHeight="1">
      <c r="B217" s="4">
        <v>288</v>
      </c>
      <c r="C217" s="5" t="s">
        <v>233</v>
      </c>
      <c r="D217" s="5" t="str">
        <f>REPLACE(C217,1,3, )</f>
        <v xml:space="preserve"> 299</v>
      </c>
      <c r="E217" s="6" t="s">
        <v>233</v>
      </c>
      <c r="F217" s="7">
        <f>IF(C217=E217,0,1)</f>
        <v>0</v>
      </c>
      <c r="G217" s="11" t="s">
        <v>298</v>
      </c>
      <c r="H217" s="11" t="s">
        <v>1535</v>
      </c>
      <c r="I217" s="11" t="s">
        <v>357</v>
      </c>
      <c r="J217" s="12">
        <v>75000</v>
      </c>
      <c r="K217" s="13">
        <f>J217-M217</f>
        <v>3900</v>
      </c>
      <c r="L217" s="7" t="s">
        <v>23</v>
      </c>
      <c r="M217" s="14">
        <f>J217-N217</f>
        <v>71100</v>
      </c>
      <c r="N217" s="15">
        <f>2000+200+350+600+750</f>
        <v>3900</v>
      </c>
      <c r="O217" s="39">
        <f>M217+N217</f>
        <v>75000</v>
      </c>
      <c r="P217" s="95"/>
      <c r="Q217" s="3" t="s">
        <v>427</v>
      </c>
      <c r="R217" s="36"/>
      <c r="S217" s="36">
        <f>R217+O217</f>
        <v>75000</v>
      </c>
      <c r="T217" s="36">
        <f>S217/0.7</f>
        <v>107142.85714285714</v>
      </c>
      <c r="U217" s="40">
        <f>T217/0.875</f>
        <v>122448.97959183673</v>
      </c>
      <c r="V217" s="41">
        <f>(U217-T217)/U217</f>
        <v>0.12499999999999996</v>
      </c>
      <c r="W217" s="40">
        <f>(ROUNDUP((U217/100),0))*100</f>
        <v>122500</v>
      </c>
      <c r="X217" s="42">
        <f>(T217-O217)/T217</f>
        <v>0.3</v>
      </c>
      <c r="Y217" s="43"/>
      <c r="Z217" s="43"/>
      <c r="AA217" s="44"/>
      <c r="AB217" s="60"/>
    </row>
    <row r="218" spans="2:77" ht="14.4" customHeight="1">
      <c r="B218" s="4">
        <v>289</v>
      </c>
      <c r="C218" s="5" t="s">
        <v>232</v>
      </c>
      <c r="D218" s="5" t="str">
        <f>REPLACE(C218,1,3, )</f>
        <v xml:space="preserve"> 211</v>
      </c>
      <c r="E218" s="6" t="s">
        <v>232</v>
      </c>
      <c r="F218" s="7">
        <f>IF(C218=E218,0,1)</f>
        <v>0</v>
      </c>
      <c r="G218" s="11" t="s">
        <v>298</v>
      </c>
      <c r="H218" s="11" t="s">
        <v>1535</v>
      </c>
      <c r="I218" s="11" t="s">
        <v>357</v>
      </c>
      <c r="J218" s="12">
        <v>75000</v>
      </c>
      <c r="K218" s="13">
        <f>J218-M218</f>
        <v>3900</v>
      </c>
      <c r="L218" s="7" t="s">
        <v>23</v>
      </c>
      <c r="M218" s="14">
        <f>J218-N218</f>
        <v>71100</v>
      </c>
      <c r="N218" s="15">
        <f>2000+200+350+600+750</f>
        <v>3900</v>
      </c>
      <c r="O218" s="39">
        <f>M218+N218</f>
        <v>75000</v>
      </c>
      <c r="P218" s="95"/>
      <c r="Q218" s="3" t="s">
        <v>427</v>
      </c>
      <c r="R218" s="36"/>
      <c r="S218" s="36">
        <f>R218+O218</f>
        <v>75000</v>
      </c>
      <c r="T218" s="36">
        <f>S218/0.7</f>
        <v>107142.85714285714</v>
      </c>
      <c r="U218" s="40">
        <f>T218/0.875</f>
        <v>122448.97959183673</v>
      </c>
      <c r="V218" s="41">
        <f>(U218-T218)/U218</f>
        <v>0.12499999999999996</v>
      </c>
      <c r="W218" s="40">
        <f>(ROUNDUP((U218/100),0))*100</f>
        <v>122500</v>
      </c>
      <c r="X218" s="42">
        <f>(T218-O218)/T218</f>
        <v>0.3</v>
      </c>
      <c r="Y218" s="43"/>
      <c r="Z218" s="43"/>
      <c r="AA218" s="43"/>
      <c r="AB218" s="159" t="s">
        <v>1515</v>
      </c>
      <c r="AC218" s="165">
        <v>119285.7142857143</v>
      </c>
      <c r="AD218" s="175">
        <v>118928.57142857143</v>
      </c>
      <c r="AE218" s="147">
        <v>121071</v>
      </c>
      <c r="AF218" s="176"/>
      <c r="AG218" s="177"/>
      <c r="AH218" s="178">
        <v>120715</v>
      </c>
      <c r="AI218" s="147">
        <v>108410</v>
      </c>
      <c r="AJ218" s="147">
        <v>114699</v>
      </c>
      <c r="AK218" s="154"/>
      <c r="AL218" s="149"/>
      <c r="AM218" s="176"/>
      <c r="AN218" s="176"/>
      <c r="AO218" s="176"/>
      <c r="AP218" s="177"/>
      <c r="AQ218" s="176"/>
      <c r="AR218" s="176"/>
      <c r="AS218" s="177">
        <v>121975</v>
      </c>
      <c r="AT218" s="178">
        <v>125850</v>
      </c>
      <c r="AU218" s="147">
        <v>141195.71428571429</v>
      </c>
      <c r="AV218" s="176"/>
      <c r="AW218" s="177"/>
      <c r="AX218" s="176"/>
      <c r="AY218" s="176"/>
      <c r="AZ218" s="176">
        <v>102870</v>
      </c>
      <c r="BA218" s="179">
        <v>99225</v>
      </c>
      <c r="BB218" s="147">
        <v>174960</v>
      </c>
      <c r="BC218" s="147">
        <v>109331</v>
      </c>
      <c r="BD218" s="154"/>
      <c r="BE218" s="177"/>
      <c r="BF218" s="176"/>
      <c r="BG218" s="176"/>
      <c r="BH218" s="176">
        <v>133200</v>
      </c>
      <c r="BI218" s="178">
        <v>187999</v>
      </c>
      <c r="BJ218" s="147">
        <v>160000</v>
      </c>
      <c r="BK218" s="147">
        <v>114667</v>
      </c>
      <c r="BL218" s="154"/>
      <c r="BM218" s="177"/>
      <c r="BN218" s="147">
        <v>129381.42857142858</v>
      </c>
      <c r="BO218" s="147">
        <v>126060</v>
      </c>
      <c r="BP218" s="154"/>
      <c r="BQ218" s="149"/>
      <c r="BR218" s="176"/>
      <c r="BS218" s="176"/>
      <c r="BT218" s="176"/>
      <c r="BU218" s="177"/>
      <c r="BV218" s="176"/>
      <c r="BW218" s="176"/>
      <c r="BX218" s="176"/>
    </row>
    <row r="219" spans="2:77" ht="14.4" customHeight="1">
      <c r="B219" s="4">
        <v>218</v>
      </c>
      <c r="C219" s="5" t="s">
        <v>241</v>
      </c>
      <c r="D219" s="5" t="str">
        <f>REPLACE(C219,1,3, )</f>
        <v xml:space="preserve"> 601</v>
      </c>
      <c r="E219" s="6" t="s">
        <v>241</v>
      </c>
      <c r="F219" s="7">
        <f>IF(C219=E219,0,1)</f>
        <v>0</v>
      </c>
      <c r="G219" s="11" t="s">
        <v>298</v>
      </c>
      <c r="H219" s="8" t="s">
        <v>1521</v>
      </c>
      <c r="I219" s="11" t="s">
        <v>358</v>
      </c>
      <c r="J219" s="12">
        <v>87000</v>
      </c>
      <c r="K219" s="13">
        <f>J219-M219</f>
        <v>6700</v>
      </c>
      <c r="L219" s="7" t="s">
        <v>23</v>
      </c>
      <c r="M219" s="14">
        <f>J219-N219</f>
        <v>80300</v>
      </c>
      <c r="N219" s="15">
        <f>2000+300+600+800+3000</f>
        <v>6700</v>
      </c>
      <c r="O219" s="39">
        <f>M219+N219</f>
        <v>87000</v>
      </c>
      <c r="P219" s="95"/>
      <c r="Q219" s="3" t="s">
        <v>433</v>
      </c>
      <c r="R219" s="36"/>
      <c r="S219" s="36">
        <f>R219+O219</f>
        <v>87000</v>
      </c>
      <c r="T219" s="36">
        <f>S219/0.7</f>
        <v>124285.71428571429</v>
      </c>
      <c r="U219" s="40">
        <f>T219/0.875</f>
        <v>142040.81632653062</v>
      </c>
      <c r="V219" s="41">
        <f>(U219-T219)/U219</f>
        <v>0.12500000000000003</v>
      </c>
      <c r="W219" s="40">
        <f>(ROUNDUP((U219/100),0))*100</f>
        <v>142100</v>
      </c>
      <c r="X219" s="42">
        <f>(T219-O219)/T219</f>
        <v>0.30000000000000004</v>
      </c>
      <c r="Y219" s="43"/>
      <c r="Z219" s="43"/>
      <c r="AA219" s="44"/>
      <c r="AB219" s="60"/>
    </row>
    <row r="220" spans="2:77" ht="14.4" customHeight="1">
      <c r="B220" s="4">
        <v>219</v>
      </c>
      <c r="C220" s="38" t="s">
        <v>603</v>
      </c>
      <c r="D220" s="5" t="str">
        <f>REPLACE(C220,1,3, )</f>
        <v xml:space="preserve"> 177</v>
      </c>
      <c r="E220" s="6" t="s">
        <v>603</v>
      </c>
      <c r="F220" s="7">
        <f>IF(C220=E220,0,1)</f>
        <v>0</v>
      </c>
      <c r="G220" s="8" t="s">
        <v>20</v>
      </c>
      <c r="H220" s="8" t="s">
        <v>1521</v>
      </c>
      <c r="I220" s="8" t="s">
        <v>604</v>
      </c>
      <c r="J220" s="90">
        <v>61000</v>
      </c>
      <c r="K220" s="90">
        <f>J220-M220</f>
        <v>0</v>
      </c>
      <c r="L220" s="104" t="s">
        <v>1428</v>
      </c>
      <c r="M220" s="86">
        <f>J220</f>
        <v>61000</v>
      </c>
      <c r="N220" s="87">
        <f>2000+3450+800+300+650</f>
        <v>7200</v>
      </c>
      <c r="O220" s="101">
        <f>M220+N220</f>
        <v>68200</v>
      </c>
      <c r="P220" s="95" t="s">
        <v>1431</v>
      </c>
      <c r="Q220" s="88" t="s">
        <v>1403</v>
      </c>
      <c r="R220" s="36"/>
      <c r="S220" s="36">
        <f>R220+O220</f>
        <v>68200</v>
      </c>
      <c r="T220" s="36">
        <f>S220/0.7</f>
        <v>97428.571428571435</v>
      </c>
      <c r="U220" s="40">
        <f>T220/0.875</f>
        <v>111346.93877551021</v>
      </c>
      <c r="V220" s="41">
        <f>(U220-T220)/U220</f>
        <v>0.12499999999999997</v>
      </c>
      <c r="W220" s="40">
        <f>(ROUNDUP((U220/100),0))*100</f>
        <v>111400</v>
      </c>
      <c r="X220" s="42">
        <f>(T220-O220)/T220</f>
        <v>0.30000000000000004</v>
      </c>
      <c r="Y220" s="45">
        <v>104650</v>
      </c>
      <c r="Z220" s="46">
        <f>T220-Y220</f>
        <v>-7221.4285714285652</v>
      </c>
      <c r="AA220" s="47">
        <f>Z220/Y220</f>
        <v>-6.9005528632857763E-2</v>
      </c>
      <c r="AB220" s="60"/>
    </row>
    <row r="221" spans="2:77" ht="14.4" customHeight="1">
      <c r="B221" s="4">
        <v>220</v>
      </c>
      <c r="C221" s="5" t="s">
        <v>167</v>
      </c>
      <c r="D221" s="5" t="str">
        <f>REPLACE(C221,1,3, )</f>
        <v xml:space="preserve"> 230</v>
      </c>
      <c r="E221" s="6" t="s">
        <v>167</v>
      </c>
      <c r="F221" s="7">
        <f>IF(C221=E221,0,1)</f>
        <v>0</v>
      </c>
      <c r="G221" s="11" t="s">
        <v>298</v>
      </c>
      <c r="H221" s="8" t="s">
        <v>1521</v>
      </c>
      <c r="I221" s="11" t="s">
        <v>338</v>
      </c>
      <c r="J221" s="12">
        <v>77000</v>
      </c>
      <c r="K221" s="13">
        <f>J221-M221</f>
        <v>6500</v>
      </c>
      <c r="L221" s="7" t="s">
        <v>23</v>
      </c>
      <c r="M221" s="14">
        <f>J221-N221</f>
        <v>70500</v>
      </c>
      <c r="N221" s="14">
        <f>2000+300+600+3600</f>
        <v>6500</v>
      </c>
      <c r="O221" s="39">
        <f>M221+N221</f>
        <v>77000</v>
      </c>
      <c r="P221" s="95"/>
      <c r="Q221" s="3" t="s">
        <v>394</v>
      </c>
      <c r="R221" s="36"/>
      <c r="S221" s="36">
        <f>R221+O221</f>
        <v>77000</v>
      </c>
      <c r="T221" s="36">
        <f>S221/0.7</f>
        <v>110000</v>
      </c>
      <c r="U221" s="40">
        <f>T221/0.875</f>
        <v>125714.28571428571</v>
      </c>
      <c r="V221" s="41">
        <f>(U221-T221)/U221</f>
        <v>0.12499999999999997</v>
      </c>
      <c r="W221" s="40">
        <f>(ROUNDUP((U221/100),0))*100</f>
        <v>125800</v>
      </c>
      <c r="X221" s="42">
        <f>(T221-O221)/T221</f>
        <v>0.3</v>
      </c>
      <c r="Y221" s="43"/>
      <c r="Z221" s="43"/>
      <c r="AA221" s="44"/>
      <c r="AB221" s="60"/>
      <c r="AC221" s="157"/>
    </row>
    <row r="222" spans="2:77" ht="14.4" customHeight="1">
      <c r="B222" s="4">
        <v>221</v>
      </c>
      <c r="C222" s="5" t="s">
        <v>255</v>
      </c>
      <c r="D222" s="5" t="str">
        <f>REPLACE(C222,1,3, )</f>
        <v xml:space="preserve"> 424</v>
      </c>
      <c r="E222" s="6" t="s">
        <v>255</v>
      </c>
      <c r="F222" s="7">
        <f>IF(C222=E222,0,1)</f>
        <v>0</v>
      </c>
      <c r="G222" s="11" t="s">
        <v>298</v>
      </c>
      <c r="H222" s="8" t="s">
        <v>1521</v>
      </c>
      <c r="I222" s="11" t="s">
        <v>360</v>
      </c>
      <c r="J222" s="12">
        <f>M222</f>
        <v>67500</v>
      </c>
      <c r="K222" s="13">
        <f>J222-M222</f>
        <v>0</v>
      </c>
      <c r="L222" s="17" t="s">
        <v>22</v>
      </c>
      <c r="M222" s="18">
        <v>67500</v>
      </c>
      <c r="N222" s="15">
        <f>2000+300+600+1000+3000</f>
        <v>6900</v>
      </c>
      <c r="O222" s="39">
        <f>M222+N222</f>
        <v>74400</v>
      </c>
      <c r="P222" s="96"/>
      <c r="Q222" s="3" t="s">
        <v>445</v>
      </c>
      <c r="R222" s="36"/>
      <c r="S222" s="36">
        <f>R222+O222</f>
        <v>74400</v>
      </c>
      <c r="T222" s="36">
        <f>S222/0.7</f>
        <v>106285.71428571429</v>
      </c>
      <c r="U222" s="40">
        <f>T222/0.875</f>
        <v>121469.38775510204</v>
      </c>
      <c r="V222" s="41">
        <f>(U222-T222)/U222</f>
        <v>0.12499999999999997</v>
      </c>
      <c r="W222" s="40">
        <f>(ROUNDUP((U222/100),0))*100</f>
        <v>121500</v>
      </c>
      <c r="X222" s="42">
        <f>(T222-O222)/T222</f>
        <v>0.30000000000000004</v>
      </c>
      <c r="Y222" s="43"/>
      <c r="Z222" s="43"/>
      <c r="AA222" s="43"/>
      <c r="AB222" s="59"/>
    </row>
    <row r="223" spans="2:77" ht="14.4" customHeight="1">
      <c r="B223" s="4">
        <v>222</v>
      </c>
      <c r="C223" s="5" t="s">
        <v>237</v>
      </c>
      <c r="D223" s="5" t="str">
        <f>REPLACE(C223,1,3, )</f>
        <v xml:space="preserve"> 648</v>
      </c>
      <c r="E223" s="6" t="s">
        <v>237</v>
      </c>
      <c r="F223" s="7">
        <f>IF(C223=E223,0,1)</f>
        <v>0</v>
      </c>
      <c r="G223" s="11" t="s">
        <v>298</v>
      </c>
      <c r="H223" s="8" t="s">
        <v>1521</v>
      </c>
      <c r="I223" s="11" t="s">
        <v>358</v>
      </c>
      <c r="J223" s="12">
        <v>75000</v>
      </c>
      <c r="K223" s="13">
        <f>J223-M223</f>
        <v>7500</v>
      </c>
      <c r="L223" s="7" t="s">
        <v>23</v>
      </c>
      <c r="M223" s="14">
        <f>J223-N223</f>
        <v>67500</v>
      </c>
      <c r="N223" s="15">
        <f>2000+300+600+1000+3600</f>
        <v>7500</v>
      </c>
      <c r="O223" s="39">
        <f>M223+N223</f>
        <v>75000</v>
      </c>
      <c r="P223" s="95"/>
      <c r="Q223" s="3" t="s">
        <v>412</v>
      </c>
      <c r="R223" s="36"/>
      <c r="S223" s="36">
        <f>R223+O223</f>
        <v>75000</v>
      </c>
      <c r="T223" s="36">
        <f>S223/0.7</f>
        <v>107142.85714285714</v>
      </c>
      <c r="U223" s="40">
        <f>T223/0.875</f>
        <v>122448.97959183673</v>
      </c>
      <c r="V223" s="41">
        <f>(U223-T223)/U223</f>
        <v>0.12499999999999996</v>
      </c>
      <c r="W223" s="40">
        <f>(ROUNDUP((U223/100),0))*100</f>
        <v>122500</v>
      </c>
      <c r="X223" s="42">
        <f>(T223-O223)/T223</f>
        <v>0.3</v>
      </c>
      <c r="Y223" s="43"/>
      <c r="Z223" s="43"/>
      <c r="AA223" s="43"/>
      <c r="AB223" s="59"/>
    </row>
    <row r="224" spans="2:77" ht="14.4" customHeight="1">
      <c r="B224" s="4">
        <v>223</v>
      </c>
      <c r="C224" s="38" t="s">
        <v>605</v>
      </c>
      <c r="D224" s="5" t="str">
        <f>REPLACE(C224,1,3, )</f>
        <v xml:space="preserve"> 898</v>
      </c>
      <c r="E224" s="6" t="s">
        <v>605</v>
      </c>
      <c r="F224" s="7">
        <f>IF(C224=E224,0,1)</f>
        <v>0</v>
      </c>
      <c r="G224" s="8" t="s">
        <v>298</v>
      </c>
      <c r="H224" s="8" t="s">
        <v>1521</v>
      </c>
      <c r="I224" s="8" t="s">
        <v>595</v>
      </c>
      <c r="J224" s="12"/>
      <c r="K224" s="13">
        <f>J224-M224</f>
        <v>0</v>
      </c>
      <c r="L224" s="7"/>
      <c r="M224" s="14">
        <f>J224-N224</f>
        <v>0</v>
      </c>
      <c r="N224" s="15"/>
      <c r="O224" s="39">
        <f>M224+N224</f>
        <v>0</v>
      </c>
      <c r="P224" s="95"/>
      <c r="Q224" s="3"/>
      <c r="R224" s="36"/>
      <c r="S224" s="36">
        <f>R224+O224</f>
        <v>0</v>
      </c>
      <c r="T224" s="36">
        <f>S224/0.7</f>
        <v>0</v>
      </c>
      <c r="U224" s="40">
        <f>T224/0.875</f>
        <v>0</v>
      </c>
      <c r="V224" s="41" t="e">
        <f>(U224-T224)/U224</f>
        <v>#DIV/0!</v>
      </c>
      <c r="W224" s="40">
        <f>(ROUNDUP((U224/100),0))*100</f>
        <v>0</v>
      </c>
      <c r="X224" s="42" t="e">
        <f>(T224-O224)/T224</f>
        <v>#DIV/0!</v>
      </c>
      <c r="Y224" s="43"/>
      <c r="Z224" s="43"/>
      <c r="AA224" s="43"/>
      <c r="AB224" s="59"/>
      <c r="BY224" s="78"/>
    </row>
    <row r="225" spans="2:28" ht="14.4" customHeight="1">
      <c r="B225" s="4">
        <v>224</v>
      </c>
      <c r="C225" s="38" t="s">
        <v>606</v>
      </c>
      <c r="D225" s="5" t="str">
        <f>REPLACE(C225,1,3, )</f>
        <v xml:space="preserve"> 798</v>
      </c>
      <c r="E225" s="6" t="s">
        <v>606</v>
      </c>
      <c r="F225" s="7">
        <f>IF(C225=E225,0,1)</f>
        <v>0</v>
      </c>
      <c r="G225" s="8" t="s">
        <v>298</v>
      </c>
      <c r="H225" s="8" t="s">
        <v>1521</v>
      </c>
      <c r="I225" s="8" t="s">
        <v>607</v>
      </c>
      <c r="J225" s="12">
        <v>75000</v>
      </c>
      <c r="K225" s="13">
        <f>J225-M225</f>
        <v>7400</v>
      </c>
      <c r="L225" s="7" t="s">
        <v>23</v>
      </c>
      <c r="M225" s="14">
        <f>J225-N225</f>
        <v>67600</v>
      </c>
      <c r="N225" s="15">
        <f>2000+200+600+1000+3600</f>
        <v>7400</v>
      </c>
      <c r="O225" s="39">
        <f>M225+N225</f>
        <v>75000</v>
      </c>
      <c r="P225" s="95"/>
      <c r="Q225" s="77" t="s">
        <v>1552</v>
      </c>
      <c r="R225" s="36"/>
      <c r="S225" s="36">
        <f>R225+O225</f>
        <v>75000</v>
      </c>
      <c r="T225" s="36">
        <f>S225/0.7</f>
        <v>107142.85714285714</v>
      </c>
      <c r="U225" s="40">
        <f>T225/0.875</f>
        <v>122448.97959183673</v>
      </c>
      <c r="V225" s="41">
        <f>(U225-T225)/U225</f>
        <v>0.12499999999999996</v>
      </c>
      <c r="W225" s="40">
        <f>(ROUNDUP((U225/100),0))*100</f>
        <v>122500</v>
      </c>
      <c r="X225" s="42">
        <f>(T225-O225)/T225</f>
        <v>0.3</v>
      </c>
      <c r="Y225" s="43"/>
      <c r="Z225" s="43"/>
      <c r="AA225" s="43"/>
      <c r="AB225" s="59"/>
    </row>
    <row r="226" spans="2:28" ht="14.4" customHeight="1">
      <c r="B226" s="4">
        <v>225</v>
      </c>
      <c r="C226" s="5" t="s">
        <v>165</v>
      </c>
      <c r="D226" s="5" t="str">
        <f>REPLACE(C226,1,3, )</f>
        <v xml:space="preserve"> 685</v>
      </c>
      <c r="E226" s="6" t="s">
        <v>165</v>
      </c>
      <c r="F226" s="7">
        <f>IF(C226=E226,0,1)</f>
        <v>0</v>
      </c>
      <c r="G226" s="11" t="s">
        <v>298</v>
      </c>
      <c r="H226" s="8" t="s">
        <v>1521</v>
      </c>
      <c r="I226" s="11" t="s">
        <v>338</v>
      </c>
      <c r="J226" s="12">
        <v>77000</v>
      </c>
      <c r="K226" s="13">
        <f>J226-M226</f>
        <v>5900</v>
      </c>
      <c r="L226" s="7" t="s">
        <v>23</v>
      </c>
      <c r="M226" s="14">
        <f>J226-N226</f>
        <v>71100</v>
      </c>
      <c r="N226" s="14">
        <f>2000+300+600+3000</f>
        <v>5900</v>
      </c>
      <c r="O226" s="39">
        <f>M226+N226</f>
        <v>77000</v>
      </c>
      <c r="P226" s="96"/>
      <c r="Q226" s="3" t="s">
        <v>381</v>
      </c>
      <c r="R226" s="36"/>
      <c r="S226" s="36">
        <f>R226+O226</f>
        <v>77000</v>
      </c>
      <c r="T226" s="36">
        <f>S226/0.7</f>
        <v>110000</v>
      </c>
      <c r="U226" s="40">
        <f>T226/0.875</f>
        <v>125714.28571428571</v>
      </c>
      <c r="V226" s="41">
        <f>(U226-T226)/U226</f>
        <v>0.12499999999999997</v>
      </c>
      <c r="W226" s="40">
        <f>(ROUNDUP((U226/100),0))*100</f>
        <v>125800</v>
      </c>
      <c r="X226" s="42">
        <f>(T226-O226)/T226</f>
        <v>0.3</v>
      </c>
      <c r="Y226" s="43"/>
      <c r="Z226" s="43"/>
      <c r="AA226" s="44"/>
      <c r="AB226" s="60"/>
    </row>
    <row r="227" spans="2:28" ht="14.4" customHeight="1">
      <c r="B227" s="4">
        <v>226</v>
      </c>
      <c r="C227" s="5" t="s">
        <v>267</v>
      </c>
      <c r="D227" s="5" t="str">
        <f>REPLACE(C227,1,3, )</f>
        <v xml:space="preserve"> 620</v>
      </c>
      <c r="E227" s="6" t="s">
        <v>267</v>
      </c>
      <c r="F227" s="7">
        <f>IF(C227=E227,0,1)</f>
        <v>0</v>
      </c>
      <c r="G227" s="11" t="s">
        <v>298</v>
      </c>
      <c r="H227" s="8" t="s">
        <v>1521</v>
      </c>
      <c r="I227" s="11" t="s">
        <v>363</v>
      </c>
      <c r="J227" s="12">
        <v>81000</v>
      </c>
      <c r="K227" s="13">
        <f>J227-M227</f>
        <v>7500</v>
      </c>
      <c r="L227" s="7" t="s">
        <v>23</v>
      </c>
      <c r="M227" s="14">
        <f>J227-N227</f>
        <v>73500</v>
      </c>
      <c r="N227" s="15">
        <f>2000+300+600+1000+3600</f>
        <v>7500</v>
      </c>
      <c r="O227" s="39">
        <f>M227+N227</f>
        <v>81000</v>
      </c>
      <c r="P227" s="96"/>
      <c r="Q227" s="3" t="s">
        <v>444</v>
      </c>
      <c r="R227" s="36"/>
      <c r="S227" s="36">
        <f>R227+O227</f>
        <v>81000</v>
      </c>
      <c r="T227" s="36">
        <f>S227/0.7</f>
        <v>115714.28571428572</v>
      </c>
      <c r="U227" s="40">
        <f>T227/0.875</f>
        <v>132244.8979591837</v>
      </c>
      <c r="V227" s="41">
        <f>(U227-T227)/U227</f>
        <v>0.12500000000000008</v>
      </c>
      <c r="W227" s="40">
        <f>(ROUNDUP((U227/100),0))*100</f>
        <v>132300</v>
      </c>
      <c r="X227" s="42">
        <f>(T227-O227)/T227</f>
        <v>0.30000000000000004</v>
      </c>
      <c r="Y227" s="43"/>
      <c r="Z227" s="43"/>
      <c r="AA227" s="44"/>
      <c r="AB227" s="60"/>
    </row>
    <row r="228" spans="2:28" ht="14.4" customHeight="1">
      <c r="B228" s="4">
        <v>227</v>
      </c>
      <c r="C228" s="5" t="s">
        <v>103</v>
      </c>
      <c r="D228" s="5" t="str">
        <f>REPLACE(C228,1,3, )</f>
        <v xml:space="preserve"> 979</v>
      </c>
      <c r="E228" s="6" t="s">
        <v>103</v>
      </c>
      <c r="F228" s="7">
        <f>IF(C228=E228,0,1)</f>
        <v>0</v>
      </c>
      <c r="G228" s="11" t="s">
        <v>20</v>
      </c>
      <c r="H228" s="8" t="s">
        <v>1521</v>
      </c>
      <c r="I228" s="11" t="s">
        <v>358</v>
      </c>
      <c r="J228" s="12">
        <v>79500</v>
      </c>
      <c r="K228" s="13">
        <f>J228-M228</f>
        <v>7500</v>
      </c>
      <c r="L228" s="7" t="s">
        <v>23</v>
      </c>
      <c r="M228" s="14">
        <f>J228-N228</f>
        <v>72000</v>
      </c>
      <c r="N228" s="15">
        <f>2000+300+600+1000+3600</f>
        <v>7500</v>
      </c>
      <c r="O228" s="39">
        <f>M228+N228</f>
        <v>79500</v>
      </c>
      <c r="P228" s="95"/>
      <c r="Q228" s="3" t="s">
        <v>412</v>
      </c>
      <c r="R228" s="36"/>
      <c r="S228" s="36">
        <f>R228+O228</f>
        <v>79500</v>
      </c>
      <c r="T228" s="36">
        <f>S228/0.7</f>
        <v>113571.42857142858</v>
      </c>
      <c r="U228" s="40">
        <f>T228/0.875</f>
        <v>129795.91836734695</v>
      </c>
      <c r="V228" s="41">
        <f>(U228-T228)/U228</f>
        <v>0.12500000000000003</v>
      </c>
      <c r="W228" s="40">
        <f>(ROUNDUP((U228/100),0))*100</f>
        <v>129800</v>
      </c>
      <c r="X228" s="42">
        <f>(T228-O228)/T228</f>
        <v>0.30000000000000004</v>
      </c>
      <c r="Y228" s="45">
        <v>115063</v>
      </c>
      <c r="Z228" s="46">
        <f>T228-Y228</f>
        <v>-1491.5714285714203</v>
      </c>
      <c r="AA228" s="47">
        <f>Z228/Y228</f>
        <v>-1.2963084819372172E-2</v>
      </c>
      <c r="AB228" s="60"/>
    </row>
    <row r="229" spans="2:28" ht="14.4" customHeight="1">
      <c r="B229" s="4">
        <v>228</v>
      </c>
      <c r="C229" s="5" t="s">
        <v>58</v>
      </c>
      <c r="D229" s="5" t="str">
        <f>REPLACE(C229,1,3, )</f>
        <v xml:space="preserve"> 840</v>
      </c>
      <c r="E229" s="6" t="s">
        <v>58</v>
      </c>
      <c r="F229" s="7">
        <f>IF(C229=E229,0,1)</f>
        <v>0</v>
      </c>
      <c r="G229" s="11" t="s">
        <v>20</v>
      </c>
      <c r="H229" s="8" t="s">
        <v>1521</v>
      </c>
      <c r="I229" s="11" t="s">
        <v>363</v>
      </c>
      <c r="J229" s="12">
        <v>90050</v>
      </c>
      <c r="K229" s="13">
        <f>J229-M229</f>
        <v>7550</v>
      </c>
      <c r="L229" s="7" t="s">
        <v>23</v>
      </c>
      <c r="M229" s="14">
        <f>J229-N229</f>
        <v>82500</v>
      </c>
      <c r="N229" s="15">
        <f>2000+300+800+1000+3450</f>
        <v>7550</v>
      </c>
      <c r="O229" s="39">
        <f>M229+N229</f>
        <v>90050</v>
      </c>
      <c r="P229" s="96"/>
      <c r="Q229" s="3" t="s">
        <v>452</v>
      </c>
      <c r="R229" s="36"/>
      <c r="S229" s="36">
        <f>R229+O229</f>
        <v>90050</v>
      </c>
      <c r="T229" s="36">
        <f>S229/0.7</f>
        <v>128642.85714285714</v>
      </c>
      <c r="U229" s="40">
        <f>T229/0.875</f>
        <v>147020.4081632653</v>
      </c>
      <c r="V229" s="41">
        <f>(U229-T229)/U229</f>
        <v>0.12499999999999993</v>
      </c>
      <c r="W229" s="40">
        <f>(ROUNDUP((U229/100),0))*100</f>
        <v>147100</v>
      </c>
      <c r="X229" s="42">
        <f>(T229-O229)/T229</f>
        <v>0.3</v>
      </c>
      <c r="Y229" s="45">
        <v>135800</v>
      </c>
      <c r="Z229" s="46">
        <f>T229-Y229</f>
        <v>-7157.1428571428551</v>
      </c>
      <c r="AA229" s="47">
        <f>Z229/Y229</f>
        <v>-5.2703555649063732E-2</v>
      </c>
      <c r="AB229" s="60"/>
    </row>
    <row r="230" spans="2:28" ht="14.4" customHeight="1">
      <c r="B230" s="4">
        <v>229</v>
      </c>
      <c r="C230" s="5" t="s">
        <v>104</v>
      </c>
      <c r="D230" s="5" t="str">
        <f>REPLACE(C230,1,3, )</f>
        <v xml:space="preserve"> 184</v>
      </c>
      <c r="E230" s="6" t="s">
        <v>104</v>
      </c>
      <c r="F230" s="7">
        <f>IF(C230=E230,0,1)</f>
        <v>0</v>
      </c>
      <c r="G230" s="11" t="s">
        <v>20</v>
      </c>
      <c r="H230" s="8" t="s">
        <v>1521</v>
      </c>
      <c r="I230" s="11" t="s">
        <v>331</v>
      </c>
      <c r="J230" s="12">
        <f>M230</f>
        <v>68000</v>
      </c>
      <c r="K230" s="13">
        <f>J230-M230</f>
        <v>0</v>
      </c>
      <c r="L230" s="17" t="s">
        <v>22</v>
      </c>
      <c r="M230" s="20">
        <v>68000</v>
      </c>
      <c r="N230" s="14">
        <f>2000+300+600+1000+3600</f>
        <v>7500</v>
      </c>
      <c r="O230" s="39">
        <f>M230+N230</f>
        <v>75500</v>
      </c>
      <c r="P230" s="94"/>
      <c r="Q230" s="3" t="s">
        <v>382</v>
      </c>
      <c r="R230" s="36"/>
      <c r="S230" s="36">
        <f>R230+O230</f>
        <v>75500</v>
      </c>
      <c r="T230" s="36">
        <f>S230/0.7</f>
        <v>107857.14285714287</v>
      </c>
      <c r="U230" s="40">
        <f>T230/0.875</f>
        <v>123265.30612244899</v>
      </c>
      <c r="V230" s="41">
        <f>(U230-T230)/U230</f>
        <v>0.125</v>
      </c>
      <c r="W230" s="40">
        <f>(ROUNDUP((U230/100),0))*100</f>
        <v>123300</v>
      </c>
      <c r="X230" s="42">
        <f>(T230-O230)/T230</f>
        <v>0.3000000000000001</v>
      </c>
      <c r="Y230" s="45">
        <v>104388</v>
      </c>
      <c r="Z230" s="46">
        <f>T230-Y230</f>
        <v>3469.1428571428696</v>
      </c>
      <c r="AA230" s="47">
        <f>Z230/Y230</f>
        <v>3.3233157615270618E-2</v>
      </c>
      <c r="AB230" s="60"/>
    </row>
    <row r="231" spans="2:28" ht="14.4" customHeight="1">
      <c r="B231" s="4">
        <v>230</v>
      </c>
      <c r="C231" s="5" t="s">
        <v>266</v>
      </c>
      <c r="D231" s="5" t="str">
        <f>REPLACE(C231,1,3, )</f>
        <v xml:space="preserve"> 203</v>
      </c>
      <c r="E231" s="6" t="s">
        <v>266</v>
      </c>
      <c r="F231" s="7">
        <f>IF(C231=E231,0,1)</f>
        <v>0</v>
      </c>
      <c r="G231" s="11" t="s">
        <v>298</v>
      </c>
      <c r="H231" s="8" t="s">
        <v>1521</v>
      </c>
      <c r="I231" s="11" t="s">
        <v>363</v>
      </c>
      <c r="J231" s="12">
        <v>79000</v>
      </c>
      <c r="K231" s="13">
        <f>J231-M231</f>
        <v>7150</v>
      </c>
      <c r="L231" s="7" t="s">
        <v>23</v>
      </c>
      <c r="M231" s="14">
        <f>J231-N231</f>
        <v>71850</v>
      </c>
      <c r="N231" s="15">
        <f>2000+300+600+650+3600</f>
        <v>7150</v>
      </c>
      <c r="O231" s="39">
        <f>M231+N231</f>
        <v>79000</v>
      </c>
      <c r="P231" s="95"/>
      <c r="Q231" s="3" t="s">
        <v>451</v>
      </c>
      <c r="R231" s="36"/>
      <c r="S231" s="36">
        <f>R231+O231</f>
        <v>79000</v>
      </c>
      <c r="T231" s="36">
        <f>S231/0.7</f>
        <v>112857.14285714287</v>
      </c>
      <c r="U231" s="40">
        <f>T231/0.875</f>
        <v>128979.5918367347</v>
      </c>
      <c r="V231" s="41">
        <f>(U231-T231)/U231</f>
        <v>0.12499999999999997</v>
      </c>
      <c r="W231" s="40">
        <f>(ROUNDUP((U231/100),0))*100</f>
        <v>129000</v>
      </c>
      <c r="X231" s="42">
        <f>(T231-O231)/T231</f>
        <v>0.3000000000000001</v>
      </c>
      <c r="Y231" s="43"/>
      <c r="Z231" s="43"/>
      <c r="AA231" s="43"/>
      <c r="AB231" s="59"/>
    </row>
    <row r="232" spans="2:28" ht="14.4" customHeight="1">
      <c r="B232" s="4">
        <v>231</v>
      </c>
      <c r="C232" s="5" t="s">
        <v>268</v>
      </c>
      <c r="D232" s="5" t="str">
        <f>REPLACE(C232,1,3, )</f>
        <v xml:space="preserve"> 740</v>
      </c>
      <c r="E232" s="6" t="s">
        <v>268</v>
      </c>
      <c r="F232" s="7">
        <f>IF(C232=E232,0,1)</f>
        <v>0</v>
      </c>
      <c r="G232" s="11" t="s">
        <v>298</v>
      </c>
      <c r="H232" s="8" t="s">
        <v>1521</v>
      </c>
      <c r="I232" s="11" t="s">
        <v>363</v>
      </c>
      <c r="J232" s="12">
        <v>85000</v>
      </c>
      <c r="K232" s="13">
        <f>J232-M232</f>
        <v>7500</v>
      </c>
      <c r="L232" s="7" t="s">
        <v>23</v>
      </c>
      <c r="M232" s="14">
        <f>J232-N232</f>
        <v>77500</v>
      </c>
      <c r="N232" s="15">
        <f>2000+300+600+1000+3600</f>
        <v>7500</v>
      </c>
      <c r="O232" s="39">
        <f>M232+N232</f>
        <v>85000</v>
      </c>
      <c r="P232" s="95"/>
      <c r="Q232" s="3" t="s">
        <v>444</v>
      </c>
      <c r="R232" s="36"/>
      <c r="S232" s="36">
        <f>R232+O232</f>
        <v>85000</v>
      </c>
      <c r="T232" s="36">
        <f>S232/0.7</f>
        <v>121428.57142857143</v>
      </c>
      <c r="U232" s="40">
        <f>T232/0.875</f>
        <v>138775.51020408163</v>
      </c>
      <c r="V232" s="41">
        <f>(U232-T232)/U232</f>
        <v>0.12499999999999992</v>
      </c>
      <c r="W232" s="40">
        <f>(ROUNDUP((U232/100),0))*100</f>
        <v>138800</v>
      </c>
      <c r="X232" s="42">
        <f>(T232-O232)/T232</f>
        <v>0.30000000000000004</v>
      </c>
      <c r="Y232" s="43"/>
      <c r="Z232" s="43"/>
      <c r="AA232" s="44"/>
      <c r="AB232" s="60"/>
    </row>
    <row r="233" spans="2:28" ht="14.4" customHeight="1">
      <c r="B233" s="4">
        <v>232</v>
      </c>
      <c r="C233" s="38" t="s">
        <v>608</v>
      </c>
      <c r="D233" s="5" t="str">
        <f>REPLACE(C233,1,3, )</f>
        <v xml:space="preserve"> 558</v>
      </c>
      <c r="E233" s="6" t="s">
        <v>608</v>
      </c>
      <c r="F233" s="7">
        <f>IF(C233=E233,0,1)</f>
        <v>0</v>
      </c>
      <c r="G233" s="8" t="s">
        <v>20</v>
      </c>
      <c r="H233" s="8" t="s">
        <v>1521</v>
      </c>
      <c r="I233" s="8" t="s">
        <v>609</v>
      </c>
      <c r="J233" s="90">
        <v>65000</v>
      </c>
      <c r="K233" s="90">
        <f>J233-M233</f>
        <v>0</v>
      </c>
      <c r="L233" s="104" t="s">
        <v>1428</v>
      </c>
      <c r="M233" s="86">
        <f>J233</f>
        <v>65000</v>
      </c>
      <c r="N233" s="87">
        <f>2000+3450+800+200+250+700</f>
        <v>7400</v>
      </c>
      <c r="O233" s="101">
        <f>M233+N233</f>
        <v>72400</v>
      </c>
      <c r="P233" s="95"/>
      <c r="Q233" s="88" t="s">
        <v>1417</v>
      </c>
      <c r="R233" s="36"/>
      <c r="S233" s="36">
        <f>R233+O233</f>
        <v>72400</v>
      </c>
      <c r="T233" s="36">
        <f>S233/0.7</f>
        <v>103428.57142857143</v>
      </c>
      <c r="U233" s="40">
        <f>T233/0.875</f>
        <v>118204.08163265306</v>
      </c>
      <c r="V233" s="41">
        <f>(U233-T233)/U233</f>
        <v>0.12499999999999996</v>
      </c>
      <c r="W233" s="40">
        <f>(ROUNDUP((U233/100),0))*100</f>
        <v>118300</v>
      </c>
      <c r="X233" s="42">
        <f>(T233-O233)/T233</f>
        <v>0.30000000000000004</v>
      </c>
      <c r="Y233" s="45">
        <v>110600</v>
      </c>
      <c r="Z233" s="46">
        <f>T233-Y233</f>
        <v>-7171.4285714285652</v>
      </c>
      <c r="AA233" s="47">
        <f>Z233/Y233</f>
        <v>-6.4841126323947243E-2</v>
      </c>
      <c r="AB233" s="60"/>
    </row>
    <row r="234" spans="2:28" ht="14.4" customHeight="1">
      <c r="B234" s="4">
        <v>233</v>
      </c>
      <c r="C234" s="38" t="s">
        <v>610</v>
      </c>
      <c r="D234" s="5" t="str">
        <f>REPLACE(C234,1,3, )</f>
        <v xml:space="preserve"> 419</v>
      </c>
      <c r="E234" s="6" t="s">
        <v>610</v>
      </c>
      <c r="F234" s="7">
        <f>IF(C234=E234,0,1)</f>
        <v>0</v>
      </c>
      <c r="G234" s="8" t="s">
        <v>298</v>
      </c>
      <c r="H234" s="8" t="s">
        <v>1521</v>
      </c>
      <c r="I234" s="8" t="s">
        <v>601</v>
      </c>
      <c r="J234" s="12"/>
      <c r="K234" s="13">
        <f>J234-M234</f>
        <v>0</v>
      </c>
      <c r="L234" s="7"/>
      <c r="M234" s="14">
        <f>J234-N234</f>
        <v>0</v>
      </c>
      <c r="N234" s="15"/>
      <c r="O234" s="39">
        <f>M234+N234</f>
        <v>0</v>
      </c>
      <c r="P234" s="95"/>
      <c r="Q234" s="3"/>
      <c r="R234" s="36"/>
      <c r="S234" s="36">
        <f>R234+O234</f>
        <v>0</v>
      </c>
      <c r="T234" s="36">
        <f>S234/0.7</f>
        <v>0</v>
      </c>
      <c r="U234" s="40">
        <f>T234/0.875</f>
        <v>0</v>
      </c>
      <c r="V234" s="41" t="e">
        <f>(U234-T234)/U234</f>
        <v>#DIV/0!</v>
      </c>
      <c r="W234" s="40">
        <f>(ROUNDUP((U234/100),0))*100</f>
        <v>0</v>
      </c>
      <c r="X234" s="42" t="e">
        <f>(T234-O234)/T234</f>
        <v>#DIV/0!</v>
      </c>
      <c r="Y234" s="43"/>
      <c r="Z234" s="43"/>
      <c r="AA234" s="44"/>
      <c r="AB234" s="60"/>
    </row>
    <row r="235" spans="2:28" ht="14.4" customHeight="1">
      <c r="B235" s="4">
        <v>234</v>
      </c>
      <c r="C235" s="5" t="s">
        <v>238</v>
      </c>
      <c r="D235" s="5" t="str">
        <f>REPLACE(C235,1,3, )</f>
        <v xml:space="preserve"> 163</v>
      </c>
      <c r="E235" s="6" t="s">
        <v>238</v>
      </c>
      <c r="F235" s="7">
        <f>IF(C235=E235,0,1)</f>
        <v>0</v>
      </c>
      <c r="G235" s="11" t="s">
        <v>298</v>
      </c>
      <c r="H235" s="8" t="s">
        <v>1521</v>
      </c>
      <c r="I235" s="11" t="s">
        <v>358</v>
      </c>
      <c r="J235" s="12">
        <v>74000</v>
      </c>
      <c r="K235" s="13">
        <f>J235-M235</f>
        <v>7500</v>
      </c>
      <c r="L235" s="7" t="s">
        <v>23</v>
      </c>
      <c r="M235" s="14">
        <f>J235-N235</f>
        <v>66500</v>
      </c>
      <c r="N235" s="15">
        <f>2000+300+600+1000+3600</f>
        <v>7500</v>
      </c>
      <c r="O235" s="39">
        <f>M235+N235</f>
        <v>74000</v>
      </c>
      <c r="P235" s="95"/>
      <c r="Q235" s="3" t="s">
        <v>412</v>
      </c>
      <c r="R235" s="36"/>
      <c r="S235" s="36">
        <f>R235+O235</f>
        <v>74000</v>
      </c>
      <c r="T235" s="36">
        <f>S235/0.7</f>
        <v>105714.28571428572</v>
      </c>
      <c r="U235" s="40">
        <f>T235/0.875</f>
        <v>120816.32653061226</v>
      </c>
      <c r="V235" s="41">
        <f>(U235-T235)/U235</f>
        <v>0.12500000000000006</v>
      </c>
      <c r="W235" s="40">
        <f>(ROUNDUP((U235/100),0))*100</f>
        <v>120900</v>
      </c>
      <c r="X235" s="42">
        <f>(T235-O235)/T235</f>
        <v>0.30000000000000004</v>
      </c>
      <c r="Y235" s="43"/>
      <c r="Z235" s="43"/>
      <c r="AA235" s="43"/>
      <c r="AB235" s="59"/>
    </row>
    <row r="236" spans="2:28" ht="14.4" customHeight="1">
      <c r="B236" s="4">
        <v>235</v>
      </c>
      <c r="C236" s="5" t="s">
        <v>236</v>
      </c>
      <c r="D236" s="5" t="str">
        <f>REPLACE(C236,1,3, )</f>
        <v xml:space="preserve"> 565</v>
      </c>
      <c r="E236" s="6" t="s">
        <v>236</v>
      </c>
      <c r="F236" s="7">
        <f>IF(C236=E236,0,1)</f>
        <v>0</v>
      </c>
      <c r="G236" s="11" t="s">
        <v>298</v>
      </c>
      <c r="H236" s="8" t="s">
        <v>1521</v>
      </c>
      <c r="I236" s="11" t="s">
        <v>358</v>
      </c>
      <c r="J236" s="12">
        <v>77000</v>
      </c>
      <c r="K236" s="13">
        <f>J236-M236</f>
        <v>7300</v>
      </c>
      <c r="L236" s="7" t="s">
        <v>23</v>
      </c>
      <c r="M236" s="14">
        <f>J236-N236</f>
        <v>69700</v>
      </c>
      <c r="N236" s="15">
        <f>2000+300+600+800+3600</f>
        <v>7300</v>
      </c>
      <c r="O236" s="39">
        <f>M236+N236</f>
        <v>77000</v>
      </c>
      <c r="P236" s="95"/>
      <c r="Q236" s="3" t="s">
        <v>429</v>
      </c>
      <c r="R236" s="36"/>
      <c r="S236" s="36">
        <f>R236+O236</f>
        <v>77000</v>
      </c>
      <c r="T236" s="36">
        <f>S236/0.7</f>
        <v>110000</v>
      </c>
      <c r="U236" s="40">
        <f>T236/0.875</f>
        <v>125714.28571428571</v>
      </c>
      <c r="V236" s="41">
        <f>(U236-T236)/U236</f>
        <v>0.12499999999999997</v>
      </c>
      <c r="W236" s="40">
        <f>(ROUNDUP((U236/100),0))*100</f>
        <v>125800</v>
      </c>
      <c r="X236" s="42">
        <f>(T236-O236)/T236</f>
        <v>0.3</v>
      </c>
      <c r="Y236" s="43"/>
      <c r="Z236" s="43"/>
      <c r="AA236" s="43"/>
      <c r="AB236" s="59"/>
    </row>
    <row r="237" spans="2:28" ht="14.4" customHeight="1">
      <c r="B237" s="4">
        <v>236</v>
      </c>
      <c r="C237" s="38" t="s">
        <v>611</v>
      </c>
      <c r="D237" s="5" t="str">
        <f>REPLACE(C237,1,3, )</f>
        <v xml:space="preserve"> 897</v>
      </c>
      <c r="E237" s="6" t="s">
        <v>611</v>
      </c>
      <c r="F237" s="7">
        <f>IF(C237=E237,0,1)</f>
        <v>0</v>
      </c>
      <c r="G237" s="8" t="s">
        <v>20</v>
      </c>
      <c r="H237" s="8" t="s">
        <v>1521</v>
      </c>
      <c r="I237" s="8" t="s">
        <v>600</v>
      </c>
      <c r="J237" s="12">
        <f>M237</f>
        <v>52500</v>
      </c>
      <c r="K237" s="183">
        <f>J237-M237</f>
        <v>0</v>
      </c>
      <c r="L237" s="17" t="s">
        <v>22</v>
      </c>
      <c r="M237" s="18">
        <v>52500</v>
      </c>
      <c r="N237" s="15">
        <f>2000+3450+800+300+650</f>
        <v>7200</v>
      </c>
      <c r="O237" s="39">
        <f>M237+N237</f>
        <v>59700</v>
      </c>
      <c r="P237" s="95"/>
      <c r="Q237" s="77" t="s">
        <v>1544</v>
      </c>
      <c r="R237" s="36"/>
      <c r="S237" s="36">
        <f>R237+O237</f>
        <v>59700</v>
      </c>
      <c r="T237" s="36">
        <f>S237/0.7</f>
        <v>85285.71428571429</v>
      </c>
      <c r="U237" s="40">
        <f>T237/0.875</f>
        <v>97469.387755102041</v>
      </c>
      <c r="V237" s="41">
        <f>(U237-T237)/U237</f>
        <v>0.12499999999999996</v>
      </c>
      <c r="W237" s="40">
        <f>(ROUNDUP((U237/100),0))*100</f>
        <v>97500</v>
      </c>
      <c r="X237" s="42">
        <f>(T237-O237)/T237</f>
        <v>0.30000000000000004</v>
      </c>
      <c r="Y237" s="45">
        <v>88900</v>
      </c>
      <c r="Z237" s="46">
        <f>T237-Y237</f>
        <v>-3614.2857142857101</v>
      </c>
      <c r="AA237" s="47">
        <f>Z237/Y237</f>
        <v>-4.0655632331672777E-2</v>
      </c>
      <c r="AB237" s="60"/>
    </row>
    <row r="238" spans="2:28" ht="14.4" customHeight="1">
      <c r="B238" s="4">
        <v>237</v>
      </c>
      <c r="C238" s="5" t="s">
        <v>264</v>
      </c>
      <c r="D238" s="5" t="str">
        <f>REPLACE(C238,1,3, )</f>
        <v xml:space="preserve"> 480</v>
      </c>
      <c r="E238" s="6" t="s">
        <v>264</v>
      </c>
      <c r="F238" s="7">
        <f>IF(C238=E238,0,1)</f>
        <v>0</v>
      </c>
      <c r="G238" s="11" t="s">
        <v>298</v>
      </c>
      <c r="H238" s="8" t="s">
        <v>1521</v>
      </c>
      <c r="I238" s="11" t="s">
        <v>363</v>
      </c>
      <c r="J238" s="12">
        <v>81000</v>
      </c>
      <c r="K238" s="13">
        <f>J238-M238</f>
        <v>7500</v>
      </c>
      <c r="L238" s="7" t="s">
        <v>23</v>
      </c>
      <c r="M238" s="14">
        <f>J238-N238</f>
        <v>73500</v>
      </c>
      <c r="N238" s="15">
        <f>2000+300+600+1000+3600</f>
        <v>7500</v>
      </c>
      <c r="O238" s="39">
        <f>M238+N238</f>
        <v>81000</v>
      </c>
      <c r="P238" s="95"/>
      <c r="Q238" s="3" t="s">
        <v>451</v>
      </c>
      <c r="R238" s="36"/>
      <c r="S238" s="36">
        <f>R238+O238</f>
        <v>81000</v>
      </c>
      <c r="T238" s="36">
        <f>S238/0.7</f>
        <v>115714.28571428572</v>
      </c>
      <c r="U238" s="40">
        <f>T238/0.875</f>
        <v>132244.8979591837</v>
      </c>
      <c r="V238" s="41">
        <f>(U238-T238)/U238</f>
        <v>0.12500000000000008</v>
      </c>
      <c r="W238" s="40">
        <f>(ROUNDUP((U238/100),0))*100</f>
        <v>132300</v>
      </c>
      <c r="X238" s="42">
        <f>(T238-O238)/T238</f>
        <v>0.30000000000000004</v>
      </c>
      <c r="Y238" s="43"/>
      <c r="Z238" s="43"/>
      <c r="AA238" s="43"/>
      <c r="AB238" s="59"/>
    </row>
    <row r="239" spans="2:28" ht="14.4" customHeight="1">
      <c r="B239" s="4">
        <v>238</v>
      </c>
      <c r="C239" s="5" t="s">
        <v>100</v>
      </c>
      <c r="D239" s="5" t="str">
        <f>REPLACE(C239,1,3, )</f>
        <v xml:space="preserve"> 695</v>
      </c>
      <c r="E239" s="6" t="s">
        <v>100</v>
      </c>
      <c r="F239" s="7">
        <f>IF(C239=E239,0,1)</f>
        <v>0</v>
      </c>
      <c r="G239" s="11" t="s">
        <v>20</v>
      </c>
      <c r="H239" s="8" t="s">
        <v>1521</v>
      </c>
      <c r="I239" s="11" t="s">
        <v>358</v>
      </c>
      <c r="J239" s="12">
        <v>68000</v>
      </c>
      <c r="K239" s="13">
        <f>J239-M239</f>
        <v>7150</v>
      </c>
      <c r="L239" s="7" t="s">
        <v>23</v>
      </c>
      <c r="M239" s="14">
        <f>J239-N239</f>
        <v>60850</v>
      </c>
      <c r="N239" s="15">
        <f>2000+300+600+650+3600</f>
        <v>7150</v>
      </c>
      <c r="O239" s="39">
        <f>M239+N239</f>
        <v>68000</v>
      </c>
      <c r="P239" s="95"/>
      <c r="Q239" s="3" t="s">
        <v>428</v>
      </c>
      <c r="R239" s="36"/>
      <c r="S239" s="36">
        <f>R239+O239</f>
        <v>68000</v>
      </c>
      <c r="T239" s="36">
        <f>S239/0.7</f>
        <v>97142.857142857145</v>
      </c>
      <c r="U239" s="40">
        <f>T239/0.875</f>
        <v>111020.40816326531</v>
      </c>
      <c r="V239" s="41">
        <f>(U239-T239)/U239</f>
        <v>0.12500000000000003</v>
      </c>
      <c r="W239" s="40">
        <f>(ROUNDUP((U239/100),0))*100</f>
        <v>111100</v>
      </c>
      <c r="X239" s="42">
        <f>(T239-O239)/T239</f>
        <v>0.3</v>
      </c>
      <c r="Y239" s="45">
        <v>98613</v>
      </c>
      <c r="Z239" s="46">
        <f>T239-Y239</f>
        <v>-1470.1428571428551</v>
      </c>
      <c r="AA239" s="47">
        <f>Z239/Y239</f>
        <v>-1.4908205380049841E-2</v>
      </c>
      <c r="AB239" s="60"/>
    </row>
    <row r="240" spans="2:28" ht="14.4" customHeight="1">
      <c r="B240" s="4">
        <v>239</v>
      </c>
      <c r="C240" s="5" t="s">
        <v>101</v>
      </c>
      <c r="D240" s="5" t="str">
        <f>REPLACE(C240,1,3, )</f>
        <v xml:space="preserve"> 016</v>
      </c>
      <c r="E240" s="6" t="s">
        <v>101</v>
      </c>
      <c r="F240" s="7">
        <f>IF(C240=E240,0,1)</f>
        <v>0</v>
      </c>
      <c r="G240" s="11" t="s">
        <v>20</v>
      </c>
      <c r="H240" s="8" t="s">
        <v>1521</v>
      </c>
      <c r="I240" s="11" t="s">
        <v>358</v>
      </c>
      <c r="J240" s="12">
        <v>83800</v>
      </c>
      <c r="K240" s="13">
        <f>J240-M240</f>
        <v>6500</v>
      </c>
      <c r="L240" s="7" t="s">
        <v>23</v>
      </c>
      <c r="M240" s="14">
        <f>J240-N240</f>
        <v>77300</v>
      </c>
      <c r="N240" s="15">
        <f>2000+300+600+3600</f>
        <v>6500</v>
      </c>
      <c r="O240" s="39">
        <f>M240+N240</f>
        <v>83800</v>
      </c>
      <c r="P240" s="96"/>
      <c r="Q240" s="3" t="s">
        <v>431</v>
      </c>
      <c r="R240" s="36"/>
      <c r="S240" s="36">
        <f>R240+O240</f>
        <v>83800</v>
      </c>
      <c r="T240" s="36">
        <f>S240/0.7</f>
        <v>119714.28571428572</v>
      </c>
      <c r="U240" s="40">
        <f>T240/0.875</f>
        <v>136816.32653061225</v>
      </c>
      <c r="V240" s="41">
        <f>(U240-T240)/U240</f>
        <v>0.12499999999999994</v>
      </c>
      <c r="W240" s="40">
        <f>(ROUNDUP((U240/100),0))*100</f>
        <v>136900</v>
      </c>
      <c r="X240" s="42">
        <f>(T240-O240)/T240</f>
        <v>0.30000000000000004</v>
      </c>
      <c r="Y240" s="45">
        <v>121188</v>
      </c>
      <c r="Z240" s="46">
        <f>T240-Y240</f>
        <v>-1473.7142857142753</v>
      </c>
      <c r="AA240" s="47">
        <f>Z240/Y240</f>
        <v>-1.216056280914179E-2</v>
      </c>
      <c r="AB240" s="60"/>
    </row>
    <row r="241" spans="2:76" ht="14.4" customHeight="1">
      <c r="B241" s="4">
        <v>240</v>
      </c>
      <c r="C241" s="5" t="s">
        <v>265</v>
      </c>
      <c r="D241" s="5" t="str">
        <f>REPLACE(C241,1,3, )</f>
        <v xml:space="preserve"> 288</v>
      </c>
      <c r="E241" s="6" t="s">
        <v>265</v>
      </c>
      <c r="F241" s="7">
        <f>IF(C241=E241,0,1)</f>
        <v>0</v>
      </c>
      <c r="G241" s="11" t="s">
        <v>298</v>
      </c>
      <c r="H241" s="8" t="s">
        <v>1521</v>
      </c>
      <c r="I241" s="11" t="s">
        <v>363</v>
      </c>
      <c r="J241" s="12">
        <v>84000</v>
      </c>
      <c r="K241" s="13">
        <f>J241-M241</f>
        <v>7150</v>
      </c>
      <c r="L241" s="7" t="s">
        <v>23</v>
      </c>
      <c r="M241" s="14">
        <f>J241-N241</f>
        <v>76850</v>
      </c>
      <c r="N241" s="15">
        <f>2000+300+600+650+3600</f>
        <v>7150</v>
      </c>
      <c r="O241" s="39">
        <f>M241+N241</f>
        <v>84000</v>
      </c>
      <c r="P241" s="95"/>
      <c r="Q241" s="3" t="s">
        <v>451</v>
      </c>
      <c r="R241" s="36"/>
      <c r="S241" s="36">
        <f>R241+O241</f>
        <v>84000</v>
      </c>
      <c r="T241" s="36">
        <f>S241/0.7</f>
        <v>120000.00000000001</v>
      </c>
      <c r="U241" s="40">
        <f>T241/0.875</f>
        <v>137142.85714285716</v>
      </c>
      <c r="V241" s="41">
        <f>(U241-T241)/U241</f>
        <v>0.125</v>
      </c>
      <c r="W241" s="40">
        <f>(ROUNDUP((U241/100),0))*100</f>
        <v>137200</v>
      </c>
      <c r="X241" s="42">
        <f>(T241-O241)/T241</f>
        <v>0.3000000000000001</v>
      </c>
      <c r="Y241" s="43"/>
      <c r="Z241" s="43"/>
      <c r="AA241" s="43"/>
      <c r="AB241" s="59"/>
    </row>
    <row r="242" spans="2:76" ht="14.4" customHeight="1">
      <c r="B242" s="4">
        <v>241</v>
      </c>
      <c r="C242" s="5" t="s">
        <v>225</v>
      </c>
      <c r="D242" s="5" t="str">
        <f>REPLACE(C242,1,3, )</f>
        <v xml:space="preserve"> 990</v>
      </c>
      <c r="E242" s="6" t="s">
        <v>225</v>
      </c>
      <c r="F242" s="7">
        <f>IF(C242=E242,0,1)</f>
        <v>0</v>
      </c>
      <c r="G242" s="11" t="s">
        <v>298</v>
      </c>
      <c r="H242" s="8" t="s">
        <v>1521</v>
      </c>
      <c r="I242" s="11" t="s">
        <v>355</v>
      </c>
      <c r="J242" s="12">
        <v>57400</v>
      </c>
      <c r="K242" s="13">
        <f>J242-M242</f>
        <v>7400</v>
      </c>
      <c r="L242" s="7" t="s">
        <v>23</v>
      </c>
      <c r="M242" s="14">
        <f>J242-N242</f>
        <v>50000</v>
      </c>
      <c r="N242" s="15">
        <f>2000+200+600+1000+3600</f>
        <v>7400</v>
      </c>
      <c r="O242" s="39">
        <f>M242+N242</f>
        <v>57400</v>
      </c>
      <c r="P242" s="96"/>
      <c r="Q242" s="3" t="s">
        <v>425</v>
      </c>
      <c r="R242" s="36"/>
      <c r="S242" s="36">
        <f>R242+O242</f>
        <v>57400</v>
      </c>
      <c r="T242" s="36">
        <f>S242/0.7</f>
        <v>82000</v>
      </c>
      <c r="U242" s="40">
        <f>T242/0.875</f>
        <v>93714.28571428571</v>
      </c>
      <c r="V242" s="41">
        <f>(U242-T242)/U242</f>
        <v>0.12499999999999996</v>
      </c>
      <c r="W242" s="40">
        <f>(ROUNDUP((U242/100),0))*100</f>
        <v>93800</v>
      </c>
      <c r="X242" s="42">
        <f>(T242-O242)/T242</f>
        <v>0.3</v>
      </c>
      <c r="Y242" s="43"/>
      <c r="Z242" s="43"/>
      <c r="AA242" s="43"/>
      <c r="AB242" s="59"/>
    </row>
    <row r="243" spans="2:76" ht="14.4" customHeight="1">
      <c r="B243" s="4">
        <v>243</v>
      </c>
      <c r="C243" s="5" t="s">
        <v>193</v>
      </c>
      <c r="D243" s="5" t="str">
        <f>REPLACE(C243,1,3, )</f>
        <v xml:space="preserve"> 295</v>
      </c>
      <c r="E243" s="6" t="s">
        <v>193</v>
      </c>
      <c r="F243" s="7">
        <f>IF(C243=E243,0,1)</f>
        <v>0</v>
      </c>
      <c r="G243" s="11" t="s">
        <v>298</v>
      </c>
      <c r="H243" s="8" t="s">
        <v>1521</v>
      </c>
      <c r="I243" s="11" t="s">
        <v>346</v>
      </c>
      <c r="J243" s="12">
        <v>87000</v>
      </c>
      <c r="K243" s="13">
        <f>J243-M243</f>
        <v>7500</v>
      </c>
      <c r="L243" s="7" t="s">
        <v>23</v>
      </c>
      <c r="M243" s="14">
        <f>J243-N243</f>
        <v>79500</v>
      </c>
      <c r="N243" s="15">
        <f>2000+300+600+1000+3600</f>
        <v>7500</v>
      </c>
      <c r="O243" s="39">
        <f>M243+N243</f>
        <v>87000</v>
      </c>
      <c r="P243" s="95"/>
      <c r="Q243" s="3" t="s">
        <v>407</v>
      </c>
      <c r="R243" s="36"/>
      <c r="S243" s="36">
        <f>R243+O243</f>
        <v>87000</v>
      </c>
      <c r="T243" s="36">
        <f>S243/0.7</f>
        <v>124285.71428571429</v>
      </c>
      <c r="U243" s="40">
        <f>T243/0.875</f>
        <v>142040.81632653062</v>
      </c>
      <c r="V243" s="41">
        <f>(U243-T243)/U243</f>
        <v>0.12500000000000003</v>
      </c>
      <c r="W243" s="40">
        <f>(ROUNDUP((U243/100),0))*100</f>
        <v>142100</v>
      </c>
      <c r="X243" s="42">
        <f>(T243-O243)/T243</f>
        <v>0.30000000000000004</v>
      </c>
      <c r="Y243" s="43"/>
      <c r="Z243" s="43"/>
      <c r="AA243" s="44"/>
      <c r="AB243" s="60"/>
    </row>
    <row r="244" spans="2:76" ht="14.4" customHeight="1">
      <c r="B244" s="4">
        <v>396</v>
      </c>
      <c r="C244" s="38" t="s">
        <v>726</v>
      </c>
      <c r="D244" s="5" t="str">
        <f>REPLACE(C244,1,3, )</f>
        <v xml:space="preserve"> 676</v>
      </c>
      <c r="E244" s="6" t="s">
        <v>726</v>
      </c>
      <c r="F244" s="7">
        <f>IF(C244=E244,0,1)</f>
        <v>0</v>
      </c>
      <c r="G244" s="8" t="s">
        <v>20</v>
      </c>
      <c r="H244" s="8" t="s">
        <v>1521</v>
      </c>
      <c r="I244" s="8" t="s">
        <v>711</v>
      </c>
      <c r="J244" s="12">
        <f>M244</f>
        <v>63750</v>
      </c>
      <c r="K244" s="13">
        <f>J244-M244</f>
        <v>0</v>
      </c>
      <c r="L244" s="17" t="s">
        <v>22</v>
      </c>
      <c r="M244" s="18">
        <v>63750</v>
      </c>
      <c r="N244" s="15">
        <f>2000+600+200+250+2400+3600</f>
        <v>9050</v>
      </c>
      <c r="O244" s="39">
        <f>M244+N244</f>
        <v>72800</v>
      </c>
      <c r="P244" s="96"/>
      <c r="Q244" s="77" t="s">
        <v>1386</v>
      </c>
      <c r="R244" s="36"/>
      <c r="S244" s="36">
        <f>R244+O244</f>
        <v>72800</v>
      </c>
      <c r="T244" s="36">
        <f>S244/0.7</f>
        <v>104000</v>
      </c>
      <c r="U244" s="40">
        <f>T244/0.875</f>
        <v>118857.14285714286</v>
      </c>
      <c r="V244" s="41">
        <f>(U244-T244)/U244</f>
        <v>0.12499999999999999</v>
      </c>
      <c r="W244" s="40">
        <f>(ROUNDUP((U244/100),0))*100</f>
        <v>118900</v>
      </c>
      <c r="X244" s="42">
        <f>(T244-O244)/T244</f>
        <v>0.3</v>
      </c>
      <c r="Y244" s="45">
        <v>99488</v>
      </c>
      <c r="Z244" s="46">
        <f>T244-Y244</f>
        <v>4512</v>
      </c>
      <c r="AA244" s="47">
        <f>Z244/Y244</f>
        <v>4.5352203280797684E-2</v>
      </c>
      <c r="AB244" s="159" t="s">
        <v>1521</v>
      </c>
      <c r="AC244" s="165">
        <v>106313.66459627329</v>
      </c>
      <c r="AD244" s="146">
        <v>105603.17460317462</v>
      </c>
      <c r="AE244" s="147">
        <v>111661</v>
      </c>
      <c r="AF244" s="148">
        <v>6.7279226762688021E-3</v>
      </c>
      <c r="AG244" s="149">
        <v>102500</v>
      </c>
      <c r="AH244" s="155">
        <v>97162</v>
      </c>
      <c r="AI244" s="146">
        <v>101115.71428571429</v>
      </c>
      <c r="AJ244" s="146">
        <v>81600</v>
      </c>
      <c r="AK244" s="151"/>
      <c r="AL244" s="156">
        <v>100222</v>
      </c>
      <c r="AM244" s="146">
        <v>103247.14285714287</v>
      </c>
      <c r="AN244" s="146">
        <v>98727</v>
      </c>
      <c r="AO244" s="151">
        <v>119425</v>
      </c>
      <c r="AP244" s="156">
        <v>108810</v>
      </c>
      <c r="AQ244" s="146">
        <v>109150</v>
      </c>
      <c r="AR244" s="146">
        <v>123300</v>
      </c>
      <c r="AS244" s="151">
        <v>110425</v>
      </c>
      <c r="AT244" s="156">
        <v>116156</v>
      </c>
      <c r="AU244" s="146">
        <v>101850</v>
      </c>
      <c r="AV244" s="146">
        <v>95850</v>
      </c>
      <c r="AW244" s="158"/>
      <c r="AX244" s="151"/>
      <c r="AY244" s="151"/>
      <c r="AZ244" s="151">
        <v>97841</v>
      </c>
      <c r="BA244" s="149"/>
      <c r="BB244" s="146">
        <v>116014</v>
      </c>
      <c r="BC244" s="146">
        <v>87319</v>
      </c>
      <c r="BD244" s="151"/>
      <c r="BE244" s="158"/>
      <c r="BF244" s="150">
        <v>90494.285714285725</v>
      </c>
      <c r="BG244" s="163">
        <v>90714</v>
      </c>
      <c r="BH244" s="151">
        <v>119083</v>
      </c>
      <c r="BI244" s="156">
        <v>142899</v>
      </c>
      <c r="BJ244" s="146">
        <v>102667.14285714287</v>
      </c>
      <c r="BK244" s="146">
        <v>119167</v>
      </c>
      <c r="BL244" s="151"/>
      <c r="BM244" s="158"/>
      <c r="BN244" s="146">
        <v>104500</v>
      </c>
      <c r="BO244" s="146">
        <v>99423</v>
      </c>
      <c r="BP244" s="151"/>
      <c r="BQ244" s="149"/>
      <c r="BR244" s="151"/>
      <c r="BS244" s="151"/>
      <c r="BT244" s="151"/>
      <c r="BU244" s="149"/>
      <c r="BV244" s="146">
        <v>117221.42857142858</v>
      </c>
      <c r="BW244" s="151"/>
      <c r="BX244" s="153"/>
    </row>
    <row r="245" spans="2:76" ht="14.4" customHeight="1">
      <c r="B245" s="4">
        <v>242</v>
      </c>
      <c r="C245" s="5" t="s">
        <v>102</v>
      </c>
      <c r="D245" s="5" t="str">
        <f>REPLACE(C245,1,3, )</f>
        <v xml:space="preserve"> 392</v>
      </c>
      <c r="E245" s="6" t="s">
        <v>102</v>
      </c>
      <c r="F245" s="7">
        <f>IF(C245=E245,0,1)</f>
        <v>0</v>
      </c>
      <c r="G245" s="11" t="s">
        <v>298</v>
      </c>
      <c r="H245" s="8" t="s">
        <v>1523</v>
      </c>
      <c r="I245" s="11" t="s">
        <v>369</v>
      </c>
      <c r="J245" s="12">
        <v>0</v>
      </c>
      <c r="K245" s="13">
        <f>J245-M245</f>
        <v>0</v>
      </c>
      <c r="L245" s="7"/>
      <c r="M245" s="14">
        <f>J245-N245</f>
        <v>0</v>
      </c>
      <c r="N245" s="15">
        <v>0</v>
      </c>
      <c r="O245" s="39">
        <f>M245+N245</f>
        <v>0</v>
      </c>
      <c r="P245" s="95"/>
      <c r="Q245" s="3" t="s">
        <v>463</v>
      </c>
      <c r="R245" s="36">
        <v>2000</v>
      </c>
      <c r="S245" s="36">
        <f>R245+O245</f>
        <v>2000</v>
      </c>
      <c r="T245" s="36">
        <f>S245/0.7</f>
        <v>2857.1428571428573</v>
      </c>
      <c r="U245" s="40">
        <f>T245/0.875</f>
        <v>3265.3061224489797</v>
      </c>
      <c r="V245" s="41">
        <f>(U245-T245)/U245</f>
        <v>0.12499999999999999</v>
      </c>
      <c r="W245" s="40">
        <f>(ROUNDUP((U245/100),0))*100</f>
        <v>3300</v>
      </c>
      <c r="X245" s="42">
        <f>(T245-O245)/T245</f>
        <v>1</v>
      </c>
      <c r="Y245" s="43"/>
      <c r="Z245" s="43"/>
      <c r="AA245" s="43"/>
      <c r="AB245" s="59"/>
    </row>
    <row r="246" spans="2:76" ht="14.4" customHeight="1">
      <c r="B246" s="4">
        <v>244</v>
      </c>
      <c r="C246" s="5" t="s">
        <v>1070</v>
      </c>
      <c r="D246" s="5" t="str">
        <f>REPLACE(C246,1,3, )</f>
        <v xml:space="preserve"> 553</v>
      </c>
      <c r="E246" s="6" t="s">
        <v>1070</v>
      </c>
      <c r="F246" s="7">
        <f>IF(C246=E246,0,1)</f>
        <v>0</v>
      </c>
      <c r="G246" s="11" t="s">
        <v>20</v>
      </c>
      <c r="H246" s="8" t="s">
        <v>1523</v>
      </c>
      <c r="I246" s="11" t="s">
        <v>609</v>
      </c>
      <c r="J246" s="90">
        <v>70000</v>
      </c>
      <c r="K246" s="90">
        <f>J246-M246</f>
        <v>0</v>
      </c>
      <c r="L246" s="104" t="s">
        <v>1428</v>
      </c>
      <c r="M246" s="86">
        <f>J246</f>
        <v>70000</v>
      </c>
      <c r="N246" s="87">
        <f>2000+3450+800+200+250+700</f>
        <v>7400</v>
      </c>
      <c r="O246" s="101">
        <f>M246+N246</f>
        <v>77400</v>
      </c>
      <c r="P246" s="95"/>
      <c r="Q246" s="88" t="s">
        <v>1418</v>
      </c>
      <c r="R246" s="36"/>
      <c r="S246" s="36">
        <f>R246+O246</f>
        <v>77400</v>
      </c>
      <c r="T246" s="36">
        <f>S246/0.7</f>
        <v>110571.42857142858</v>
      </c>
      <c r="U246" s="40">
        <f>T246/0.875</f>
        <v>126367.34693877552</v>
      </c>
      <c r="V246" s="41">
        <f>(U246-T246)/U246</f>
        <v>0.12499999999999999</v>
      </c>
      <c r="W246" s="40">
        <f>(ROUNDUP((U246/100),0))*100</f>
        <v>126400</v>
      </c>
      <c r="X246" s="42">
        <f>(T246-O246)/T246</f>
        <v>0.30000000000000004</v>
      </c>
      <c r="Y246" s="45">
        <v>116288</v>
      </c>
      <c r="Z246" s="46">
        <f>T246-Y246</f>
        <v>-5716.5714285714203</v>
      </c>
      <c r="AA246" s="47">
        <f>Z246/Y246</f>
        <v>-4.9158738894567108E-2</v>
      </c>
      <c r="AB246" s="159" t="s">
        <v>1569</v>
      </c>
      <c r="AC246" s="145">
        <v>107482.14285714286</v>
      </c>
      <c r="AD246" s="146">
        <v>98785.714285714319</v>
      </c>
      <c r="AE246" s="147">
        <v>95262</v>
      </c>
      <c r="AF246" s="148">
        <v>8.8033261026753046E-2</v>
      </c>
      <c r="AG246" s="149"/>
      <c r="AH246" s="155">
        <v>104737.14285714287</v>
      </c>
      <c r="AI246" s="151"/>
      <c r="AJ246" s="146">
        <v>71400</v>
      </c>
      <c r="AK246" s="151"/>
      <c r="AL246" s="155">
        <v>97755</v>
      </c>
      <c r="AM246" s="146">
        <v>97755.71428571429</v>
      </c>
      <c r="AN246" s="146">
        <v>92226</v>
      </c>
      <c r="AO246" s="151">
        <v>116131</v>
      </c>
      <c r="AP246" s="156">
        <v>121114</v>
      </c>
      <c r="AQ246" s="146">
        <v>110550</v>
      </c>
      <c r="AR246" s="146">
        <v>102690</v>
      </c>
      <c r="AS246" s="151">
        <v>123590</v>
      </c>
      <c r="AT246" s="156">
        <v>111150</v>
      </c>
      <c r="AU246" s="146">
        <v>107850</v>
      </c>
      <c r="AV246" s="146">
        <v>107850</v>
      </c>
      <c r="AW246" s="158"/>
      <c r="AX246" s="151"/>
      <c r="AY246" s="151"/>
      <c r="AZ246" s="151">
        <v>79380</v>
      </c>
      <c r="BA246" s="149"/>
      <c r="BB246" s="151"/>
      <c r="BC246" s="146">
        <v>98280</v>
      </c>
      <c r="BD246" s="151"/>
      <c r="BE246" s="149"/>
      <c r="BF246" s="150">
        <v>93500</v>
      </c>
      <c r="BG246" s="163">
        <v>94721</v>
      </c>
      <c r="BH246" s="151">
        <v>128400</v>
      </c>
      <c r="BI246" s="156">
        <v>126400</v>
      </c>
      <c r="BJ246" s="146">
        <v>104000</v>
      </c>
      <c r="BK246" s="146">
        <v>100500</v>
      </c>
      <c r="BL246" s="151"/>
      <c r="BM246" s="158"/>
      <c r="BN246" s="151"/>
      <c r="BO246" s="146">
        <v>110910</v>
      </c>
      <c r="BP246" s="151"/>
      <c r="BQ246" s="149"/>
      <c r="BR246" s="151"/>
      <c r="BS246" s="151"/>
      <c r="BT246" s="151"/>
      <c r="BU246" s="149"/>
      <c r="BV246" s="146">
        <v>103860</v>
      </c>
      <c r="BW246" s="151"/>
      <c r="BX246" s="153"/>
    </row>
    <row r="247" spans="2:76" ht="14.4" customHeight="1">
      <c r="B247" s="4">
        <v>152</v>
      </c>
      <c r="C247" s="5" t="s">
        <v>156</v>
      </c>
      <c r="D247" s="5" t="str">
        <f>REPLACE(C247,1,3, )</f>
        <v xml:space="preserve"> 801</v>
      </c>
      <c r="E247" s="6" t="s">
        <v>156</v>
      </c>
      <c r="F247" s="7">
        <f>IF(C247=E247,0,1)</f>
        <v>0</v>
      </c>
      <c r="G247" s="11" t="s">
        <v>298</v>
      </c>
      <c r="H247" s="11" t="s">
        <v>50</v>
      </c>
      <c r="I247" s="11" t="s">
        <v>336</v>
      </c>
      <c r="J247" s="12">
        <v>67500</v>
      </c>
      <c r="K247" s="13">
        <f>J247-M247</f>
        <v>7500</v>
      </c>
      <c r="L247" s="7" t="s">
        <v>23</v>
      </c>
      <c r="M247" s="14">
        <f>J247-N247</f>
        <v>60000</v>
      </c>
      <c r="N247" s="14">
        <f>2000+300+600+1000+3600</f>
        <v>7500</v>
      </c>
      <c r="O247" s="39">
        <f>M247+N247</f>
        <v>67500</v>
      </c>
      <c r="P247" s="95"/>
      <c r="Q247" s="3" t="s">
        <v>391</v>
      </c>
      <c r="R247" s="36"/>
      <c r="S247" s="36">
        <f>R247+O247</f>
        <v>67500</v>
      </c>
      <c r="T247" s="36">
        <f>S247/0.7</f>
        <v>96428.571428571435</v>
      </c>
      <c r="U247" s="40">
        <f>T247/0.875</f>
        <v>110204.08163265306</v>
      </c>
      <c r="V247" s="41">
        <f>(U247-T247)/U247</f>
        <v>0.12499999999999994</v>
      </c>
      <c r="W247" s="40">
        <f>(ROUNDUP((U247/100),0))*100</f>
        <v>110300</v>
      </c>
      <c r="X247" s="42">
        <f>(T247-O247)/T247</f>
        <v>0.30000000000000004</v>
      </c>
      <c r="Y247" s="43"/>
      <c r="Z247" s="43"/>
      <c r="AA247" s="43"/>
      <c r="AB247" s="59"/>
    </row>
    <row r="248" spans="2:76" ht="14.4" customHeight="1">
      <c r="B248" s="4">
        <v>153</v>
      </c>
      <c r="C248" s="5" t="s">
        <v>202</v>
      </c>
      <c r="D248" s="5" t="str">
        <f>REPLACE(C248,1,3, )</f>
        <v xml:space="preserve"> 113</v>
      </c>
      <c r="E248" s="6" t="s">
        <v>202</v>
      </c>
      <c r="F248" s="7">
        <f>IF(C248=E248,0,1)</f>
        <v>0</v>
      </c>
      <c r="G248" s="11" t="s">
        <v>298</v>
      </c>
      <c r="H248" s="11" t="s">
        <v>50</v>
      </c>
      <c r="I248" s="11" t="s">
        <v>349</v>
      </c>
      <c r="J248" s="12">
        <v>70000</v>
      </c>
      <c r="K248" s="13">
        <f>J248-M248</f>
        <v>7500</v>
      </c>
      <c r="L248" s="7" t="s">
        <v>23</v>
      </c>
      <c r="M248" s="14">
        <f>J248-N248</f>
        <v>62500</v>
      </c>
      <c r="N248" s="15">
        <f>2000+300+600+1000+3600</f>
        <v>7500</v>
      </c>
      <c r="O248" s="39">
        <f>M248+N248</f>
        <v>70000</v>
      </c>
      <c r="P248" s="95"/>
      <c r="Q248" s="3" t="s">
        <v>412</v>
      </c>
      <c r="R248" s="36"/>
      <c r="S248" s="36">
        <f>R248+O248</f>
        <v>70000</v>
      </c>
      <c r="T248" s="36">
        <f>S248/0.7</f>
        <v>100000</v>
      </c>
      <c r="U248" s="40">
        <f>T248/0.875</f>
        <v>114285.71428571429</v>
      </c>
      <c r="V248" s="41">
        <f>(U248-T248)/U248</f>
        <v>0.12500000000000003</v>
      </c>
      <c r="W248" s="40">
        <f>(ROUNDUP((U248/100),0))*100</f>
        <v>114300</v>
      </c>
      <c r="X248" s="42">
        <f>(T248-O248)/T248</f>
        <v>0.3</v>
      </c>
      <c r="Y248" s="48"/>
      <c r="Z248" s="43"/>
      <c r="AA248" s="44"/>
      <c r="AB248" s="60"/>
    </row>
    <row r="249" spans="2:76" ht="14.4" customHeight="1">
      <c r="B249" s="4">
        <v>154</v>
      </c>
      <c r="C249" s="38" t="s">
        <v>592</v>
      </c>
      <c r="D249" s="5" t="str">
        <f>REPLACE(C249,1,3, )</f>
        <v xml:space="preserve"> 296</v>
      </c>
      <c r="E249" s="6" t="s">
        <v>592</v>
      </c>
      <c r="F249" s="7">
        <f>IF(C249=E249,0,1)</f>
        <v>0</v>
      </c>
      <c r="G249" s="8" t="s">
        <v>20</v>
      </c>
      <c r="H249" s="8" t="s">
        <v>50</v>
      </c>
      <c r="I249" s="8" t="s">
        <v>593</v>
      </c>
      <c r="J249" s="12">
        <f>72000+8000</f>
        <v>80000</v>
      </c>
      <c r="K249" s="13">
        <f>J249-M249</f>
        <v>7050</v>
      </c>
      <c r="L249" s="7" t="s">
        <v>23</v>
      </c>
      <c r="M249" s="14">
        <f>J249-N249</f>
        <v>72950</v>
      </c>
      <c r="N249" s="15">
        <f>2000+200+600+650+3600</f>
        <v>7050</v>
      </c>
      <c r="O249" s="39">
        <f>M249+N249</f>
        <v>80000</v>
      </c>
      <c r="P249" s="95"/>
      <c r="Q249" s="77" t="s">
        <v>1358</v>
      </c>
      <c r="R249" s="36"/>
      <c r="S249" s="36">
        <f>R249+O249</f>
        <v>80000</v>
      </c>
      <c r="T249" s="36">
        <f>S249/0.7</f>
        <v>114285.71428571429</v>
      </c>
      <c r="U249" s="40">
        <f>T249/0.875</f>
        <v>130612.24489795919</v>
      </c>
      <c r="V249" s="41">
        <f>(U249-T249)/U249</f>
        <v>0.12499999999999999</v>
      </c>
      <c r="W249" s="40">
        <f>(ROUNDUP((U249/100),0))*100</f>
        <v>130700</v>
      </c>
      <c r="X249" s="42">
        <f>(T249-O249)/T249</f>
        <v>0.30000000000000004</v>
      </c>
      <c r="Y249" s="79">
        <v>108588</v>
      </c>
      <c r="Z249" s="46">
        <f>T249-Y249</f>
        <v>5697.7142857142899</v>
      </c>
      <c r="AA249" s="47">
        <f>Z249/Y249</f>
        <v>5.2470938646206673E-2</v>
      </c>
      <c r="AB249" s="60"/>
    </row>
    <row r="250" spans="2:76" ht="14.4" customHeight="1">
      <c r="B250" s="4">
        <v>155</v>
      </c>
      <c r="C250" s="38" t="s">
        <v>594</v>
      </c>
      <c r="D250" s="5" t="str">
        <f>REPLACE(C250,1,3, )</f>
        <v xml:space="preserve"> 276</v>
      </c>
      <c r="E250" s="6" t="s">
        <v>594</v>
      </c>
      <c r="F250" s="7">
        <f>IF(C250=E250,0,1)</f>
        <v>0</v>
      </c>
      <c r="G250" s="8" t="s">
        <v>298</v>
      </c>
      <c r="H250" s="8" t="s">
        <v>50</v>
      </c>
      <c r="I250" s="8" t="s">
        <v>595</v>
      </c>
      <c r="J250" s="12"/>
      <c r="K250" s="13">
        <f>J250-M250</f>
        <v>0</v>
      </c>
      <c r="L250" s="7"/>
      <c r="M250" s="14">
        <f>J250-N250</f>
        <v>0</v>
      </c>
      <c r="N250" s="15"/>
      <c r="O250" s="39">
        <f>M250+N250</f>
        <v>0</v>
      </c>
      <c r="P250" s="95"/>
      <c r="Q250" s="3"/>
      <c r="R250" s="36"/>
      <c r="S250" s="36">
        <f>R250+O250</f>
        <v>0</v>
      </c>
      <c r="T250" s="36">
        <f>S250/0.7</f>
        <v>0</v>
      </c>
      <c r="U250" s="40">
        <f>T250/0.875</f>
        <v>0</v>
      </c>
      <c r="V250" s="41" t="e">
        <f>(U250-T250)/U250</f>
        <v>#DIV/0!</v>
      </c>
      <c r="W250" s="40">
        <f>(ROUNDUP((U250/100),0))*100</f>
        <v>0</v>
      </c>
      <c r="X250" s="42" t="e">
        <f>(T250-O250)/T250</f>
        <v>#DIV/0!</v>
      </c>
      <c r="Y250" s="48"/>
      <c r="Z250" s="43"/>
      <c r="AA250" s="44"/>
      <c r="AB250" s="60"/>
    </row>
    <row r="251" spans="2:76" ht="14.4" customHeight="1">
      <c r="B251" s="4">
        <v>156</v>
      </c>
      <c r="C251" s="5" t="s">
        <v>155</v>
      </c>
      <c r="D251" s="5" t="str">
        <f>REPLACE(C251,1,3, )</f>
        <v xml:space="preserve"> 673</v>
      </c>
      <c r="E251" s="6" t="s">
        <v>155</v>
      </c>
      <c r="F251" s="7">
        <f>IF(C251=E251,0,1)</f>
        <v>0</v>
      </c>
      <c r="G251" s="11" t="s">
        <v>298</v>
      </c>
      <c r="H251" s="11" t="s">
        <v>50</v>
      </c>
      <c r="I251" s="11" t="s">
        <v>336</v>
      </c>
      <c r="J251" s="12">
        <v>67500</v>
      </c>
      <c r="K251" s="13">
        <f>J251-M251</f>
        <v>7500</v>
      </c>
      <c r="L251" s="7" t="s">
        <v>23</v>
      </c>
      <c r="M251" s="14">
        <f>J251-N251</f>
        <v>60000</v>
      </c>
      <c r="N251" s="14">
        <f>2000+300+600+1000+3600</f>
        <v>7500</v>
      </c>
      <c r="O251" s="39">
        <f>M251+N251</f>
        <v>67500</v>
      </c>
      <c r="P251" s="95"/>
      <c r="Q251" s="3" t="s">
        <v>391</v>
      </c>
      <c r="R251" s="36"/>
      <c r="S251" s="36">
        <f>R251+O251</f>
        <v>67500</v>
      </c>
      <c r="T251" s="36">
        <f>S251/0.7</f>
        <v>96428.571428571435</v>
      </c>
      <c r="U251" s="40">
        <f>T251/0.875</f>
        <v>110204.08163265306</v>
      </c>
      <c r="V251" s="41">
        <f>(U251-T251)/U251</f>
        <v>0.12499999999999994</v>
      </c>
      <c r="W251" s="40">
        <f>(ROUNDUP((U251/100),0))*100</f>
        <v>110300</v>
      </c>
      <c r="X251" s="42">
        <f>(T251-O251)/T251</f>
        <v>0.30000000000000004</v>
      </c>
      <c r="Y251" s="43"/>
      <c r="Z251" s="43"/>
      <c r="AA251" s="44"/>
      <c r="AB251" s="60"/>
    </row>
    <row r="252" spans="2:76" ht="14.4" customHeight="1">
      <c r="B252" s="4">
        <v>157</v>
      </c>
      <c r="C252" s="38" t="s">
        <v>596</v>
      </c>
      <c r="D252" s="5" t="str">
        <f>REPLACE(C252,1,3, )</f>
        <v xml:space="preserve"> 328</v>
      </c>
      <c r="E252" s="6" t="s">
        <v>596</v>
      </c>
      <c r="F252" s="7">
        <f>IF(C252=E252,0,1)</f>
        <v>0</v>
      </c>
      <c r="G252" s="8" t="s">
        <v>20</v>
      </c>
      <c r="H252" s="8" t="s">
        <v>50</v>
      </c>
      <c r="I252" s="8" t="s">
        <v>358</v>
      </c>
      <c r="J252" s="12"/>
      <c r="K252" s="13">
        <f>J252-M252</f>
        <v>0</v>
      </c>
      <c r="L252" s="7"/>
      <c r="M252" s="14">
        <f>J252-N252</f>
        <v>0</v>
      </c>
      <c r="N252" s="14"/>
      <c r="O252" s="39">
        <f>M252+N252</f>
        <v>0</v>
      </c>
      <c r="P252" s="95"/>
      <c r="Q252" s="3"/>
      <c r="R252" s="36"/>
      <c r="S252" s="36">
        <f>R252+O252</f>
        <v>0</v>
      </c>
      <c r="T252" s="36">
        <f>S252/0.7</f>
        <v>0</v>
      </c>
      <c r="U252" s="40">
        <f>T252/0.875</f>
        <v>0</v>
      </c>
      <c r="V252" s="41" t="e">
        <f>(U252-T252)/U252</f>
        <v>#DIV/0!</v>
      </c>
      <c r="W252" s="40">
        <f>(ROUNDUP((U252/100),0))*100</f>
        <v>0</v>
      </c>
      <c r="X252" s="42" t="e">
        <f>(T252-O252)/T252</f>
        <v>#DIV/0!</v>
      </c>
      <c r="Y252" s="45">
        <v>128625</v>
      </c>
      <c r="Z252" s="46">
        <f>T252-Y252</f>
        <v>-128625</v>
      </c>
      <c r="AA252" s="47">
        <f>Z252/Y252</f>
        <v>-1</v>
      </c>
      <c r="AB252" s="60"/>
    </row>
    <row r="253" spans="2:76" ht="14.4" customHeight="1">
      <c r="B253" s="4">
        <v>158</v>
      </c>
      <c r="C253" s="38" t="s">
        <v>597</v>
      </c>
      <c r="D253" s="5" t="str">
        <f>REPLACE(C253,1,3, )</f>
        <v xml:space="preserve"> 548</v>
      </c>
      <c r="E253" s="6" t="s">
        <v>597</v>
      </c>
      <c r="F253" s="7">
        <f>IF(C253=E253,0,1)</f>
        <v>0</v>
      </c>
      <c r="G253" s="8" t="s">
        <v>20</v>
      </c>
      <c r="H253" s="8" t="s">
        <v>50</v>
      </c>
      <c r="I253" s="8" t="s">
        <v>593</v>
      </c>
      <c r="J253" s="12">
        <f>80000+11000</f>
        <v>91000</v>
      </c>
      <c r="K253" s="13">
        <f>J253-M253</f>
        <v>7400</v>
      </c>
      <c r="L253" s="7" t="s">
        <v>23</v>
      </c>
      <c r="M253" s="14">
        <f>J253-N253</f>
        <v>83600</v>
      </c>
      <c r="N253" s="14">
        <f>2000+200+600+1000+3600</f>
        <v>7400</v>
      </c>
      <c r="O253" s="39">
        <f>M253+N253</f>
        <v>91000</v>
      </c>
      <c r="P253" s="95"/>
      <c r="Q253" s="77" t="s">
        <v>1355</v>
      </c>
      <c r="R253" s="36">
        <v>-3000</v>
      </c>
      <c r="S253" s="36">
        <f>R253+O253</f>
        <v>88000</v>
      </c>
      <c r="T253" s="36">
        <f>S253/0.7</f>
        <v>125714.28571428572</v>
      </c>
      <c r="U253" s="40">
        <f>T253/0.875</f>
        <v>143673.46938775512</v>
      </c>
      <c r="V253" s="41">
        <f>(U253-T253)/U253</f>
        <v>0.12500000000000003</v>
      </c>
      <c r="W253" s="40">
        <f>(ROUNDUP((U253/100),0))*100</f>
        <v>143700</v>
      </c>
      <c r="X253" s="42">
        <f>(T253-O253)/T253</f>
        <v>0.27613636363636368</v>
      </c>
      <c r="Y253" s="45">
        <v>117163</v>
      </c>
      <c r="Z253" s="46">
        <f>T253-Y253</f>
        <v>8551.2857142857247</v>
      </c>
      <c r="AA253" s="47">
        <f>Z253/Y253</f>
        <v>7.2986230416477255E-2</v>
      </c>
      <c r="AB253" s="60"/>
    </row>
    <row r="254" spans="2:76" ht="14.4" customHeight="1">
      <c r="B254" s="4">
        <v>159</v>
      </c>
      <c r="C254" s="5" t="s">
        <v>200</v>
      </c>
      <c r="D254" s="5" t="str">
        <f>REPLACE(C254,1,3, )</f>
        <v xml:space="preserve"> 319</v>
      </c>
      <c r="E254" s="6" t="s">
        <v>200</v>
      </c>
      <c r="F254" s="7">
        <f>IF(C254=E254,0,1)</f>
        <v>0</v>
      </c>
      <c r="G254" s="11" t="s">
        <v>298</v>
      </c>
      <c r="H254" s="11" t="s">
        <v>50</v>
      </c>
      <c r="I254" s="11" t="s">
        <v>349</v>
      </c>
      <c r="J254" s="12">
        <v>67500</v>
      </c>
      <c r="K254" s="13">
        <f>J254-M254</f>
        <v>7500</v>
      </c>
      <c r="L254" s="7" t="s">
        <v>23</v>
      </c>
      <c r="M254" s="14">
        <f>J254-N254</f>
        <v>60000</v>
      </c>
      <c r="N254" s="15">
        <f>2000+300+600+1000+3600</f>
        <v>7500</v>
      </c>
      <c r="O254" s="39">
        <f>M254+N254</f>
        <v>67500</v>
      </c>
      <c r="P254" s="95"/>
      <c r="Q254" s="3" t="s">
        <v>412</v>
      </c>
      <c r="R254" s="36"/>
      <c r="S254" s="36">
        <f>R254+O254</f>
        <v>67500</v>
      </c>
      <c r="T254" s="36">
        <f>S254/0.7</f>
        <v>96428.571428571435</v>
      </c>
      <c r="U254" s="40">
        <f>T254/0.875</f>
        <v>110204.08163265306</v>
      </c>
      <c r="V254" s="41">
        <f>(U254-T254)/U254</f>
        <v>0.12499999999999994</v>
      </c>
      <c r="W254" s="40">
        <f>(ROUNDUP((U254/100),0))*100</f>
        <v>110300</v>
      </c>
      <c r="X254" s="42">
        <f>(T254-O254)/T254</f>
        <v>0.30000000000000004</v>
      </c>
      <c r="Y254" s="43"/>
      <c r="Z254" s="43"/>
      <c r="AA254" s="44"/>
      <c r="AB254" s="60"/>
    </row>
    <row r="255" spans="2:76" ht="14.4" customHeight="1">
      <c r="B255" s="4">
        <v>160</v>
      </c>
      <c r="C255" s="5" t="s">
        <v>97</v>
      </c>
      <c r="D255" s="5" t="str">
        <f>REPLACE(C255,1,3, )</f>
        <v xml:space="preserve"> 713</v>
      </c>
      <c r="E255" s="6" t="s">
        <v>97</v>
      </c>
      <c r="F255" s="7">
        <f>IF(C255=E255,0,1)</f>
        <v>0</v>
      </c>
      <c r="G255" s="11" t="s">
        <v>20</v>
      </c>
      <c r="H255" s="11" t="s">
        <v>50</v>
      </c>
      <c r="I255" s="11" t="s">
        <v>358</v>
      </c>
      <c r="J255" s="12">
        <v>84000</v>
      </c>
      <c r="K255" s="13">
        <f>J255-M255</f>
        <v>7500</v>
      </c>
      <c r="L255" s="7" t="s">
        <v>23</v>
      </c>
      <c r="M255" s="14">
        <f>J255-N255</f>
        <v>76500</v>
      </c>
      <c r="N255" s="15">
        <f>2000+300+600+1000+3600</f>
        <v>7500</v>
      </c>
      <c r="O255" s="39">
        <f>M255+N255</f>
        <v>84000</v>
      </c>
      <c r="P255" s="95"/>
      <c r="Q255" s="3" t="s">
        <v>412</v>
      </c>
      <c r="R255" s="36"/>
      <c r="S255" s="36">
        <f>R255+O255</f>
        <v>84000</v>
      </c>
      <c r="T255" s="36">
        <f>S255/0.7</f>
        <v>120000.00000000001</v>
      </c>
      <c r="U255" s="40">
        <f>T255/0.875</f>
        <v>137142.85714285716</v>
      </c>
      <c r="V255" s="41">
        <f>(U255-T255)/U255</f>
        <v>0.125</v>
      </c>
      <c r="W255" s="40">
        <f>(ROUNDUP((U255/100),0))*100</f>
        <v>137200</v>
      </c>
      <c r="X255" s="42">
        <f>(T255-O255)/T255</f>
        <v>0.3000000000000001</v>
      </c>
      <c r="Y255" s="45">
        <v>118650</v>
      </c>
      <c r="Z255" s="46">
        <f>T255-Y255</f>
        <v>1350.0000000000146</v>
      </c>
      <c r="AA255" s="47">
        <f>Z255/Y255</f>
        <v>1.137800252844513E-2</v>
      </c>
      <c r="AB255" s="60"/>
    </row>
    <row r="256" spans="2:76" ht="14.4" customHeight="1">
      <c r="B256" s="4">
        <v>161</v>
      </c>
      <c r="C256" s="38" t="s">
        <v>598</v>
      </c>
      <c r="D256" s="5" t="str">
        <f>REPLACE(C256,1,3, )</f>
        <v xml:space="preserve"> 918</v>
      </c>
      <c r="E256" s="6" t="s">
        <v>598</v>
      </c>
      <c r="F256" s="7">
        <f>IF(C256=E256,0,1)</f>
        <v>0</v>
      </c>
      <c r="G256" s="8" t="s">
        <v>20</v>
      </c>
      <c r="H256" s="8" t="s">
        <v>50</v>
      </c>
      <c r="I256" s="8" t="s">
        <v>593</v>
      </c>
      <c r="J256" s="12">
        <f>77000+11000</f>
        <v>88000</v>
      </c>
      <c r="K256" s="13">
        <f>J256-M256</f>
        <v>6800</v>
      </c>
      <c r="L256" s="7" t="s">
        <v>23</v>
      </c>
      <c r="M256" s="14">
        <f>J256-N256</f>
        <v>81200</v>
      </c>
      <c r="N256" s="15">
        <f>2000+200+600+1000+3000</f>
        <v>6800</v>
      </c>
      <c r="O256" s="39">
        <f>M256+N256</f>
        <v>88000</v>
      </c>
      <c r="P256" s="95"/>
      <c r="Q256" s="77" t="s">
        <v>1357</v>
      </c>
      <c r="R256" s="36"/>
      <c r="S256" s="36">
        <f>R256+O256</f>
        <v>88000</v>
      </c>
      <c r="T256" s="36">
        <f>S256/0.7</f>
        <v>125714.28571428572</v>
      </c>
      <c r="U256" s="40">
        <f>T256/0.875</f>
        <v>143673.46938775512</v>
      </c>
      <c r="V256" s="41">
        <f>(U256-T256)/U256</f>
        <v>0.12500000000000003</v>
      </c>
      <c r="W256" s="40">
        <f>(ROUNDUP((U256/100),0))*100</f>
        <v>143700</v>
      </c>
      <c r="X256" s="42">
        <f>(T256-O256)/T256</f>
        <v>0.30000000000000004</v>
      </c>
      <c r="Y256" s="45">
        <v>113575</v>
      </c>
      <c r="Z256" s="46">
        <f>T256-Y256</f>
        <v>12139.285714285725</v>
      </c>
      <c r="AA256" s="47">
        <f>Z256/Y256</f>
        <v>0.10688343133863724</v>
      </c>
      <c r="AB256" s="60"/>
    </row>
    <row r="257" spans="2:28" ht="14.4" customHeight="1">
      <c r="B257" s="4">
        <v>162</v>
      </c>
      <c r="C257" s="38" t="s">
        <v>599</v>
      </c>
      <c r="D257" s="5" t="str">
        <f>REPLACE(C257,1,3, )</f>
        <v xml:space="preserve"> 787</v>
      </c>
      <c r="E257" s="6" t="s">
        <v>599</v>
      </c>
      <c r="F257" s="7">
        <f>IF(C257=E257,0,1)</f>
        <v>0</v>
      </c>
      <c r="G257" s="8" t="s">
        <v>298</v>
      </c>
      <c r="H257" s="8" t="s">
        <v>50</v>
      </c>
      <c r="I257" s="8" t="s">
        <v>600</v>
      </c>
      <c r="J257" s="12">
        <f>M257</f>
        <v>69000</v>
      </c>
      <c r="K257" s="183">
        <f>J257-M257</f>
        <v>0</v>
      </c>
      <c r="L257" s="17" t="s">
        <v>22</v>
      </c>
      <c r="M257" s="18">
        <v>69000</v>
      </c>
      <c r="N257" s="15">
        <f>2000+300+600+650+3000</f>
        <v>6550</v>
      </c>
      <c r="O257" s="39">
        <f>M257+N257</f>
        <v>75550</v>
      </c>
      <c r="P257" s="95"/>
      <c r="Q257" s="77" t="s">
        <v>1545</v>
      </c>
      <c r="R257" s="36"/>
      <c r="S257" s="36">
        <f>R257+O257</f>
        <v>75550</v>
      </c>
      <c r="T257" s="36">
        <f>S257/0.7</f>
        <v>107928.57142857143</v>
      </c>
      <c r="U257" s="40">
        <f>T257/0.875</f>
        <v>123346.93877551021</v>
      </c>
      <c r="V257" s="41">
        <f>(U257-T257)/U257</f>
        <v>0.12499999999999997</v>
      </c>
      <c r="W257" s="40">
        <f>(ROUNDUP((U257/100),0))*100</f>
        <v>123400</v>
      </c>
      <c r="X257" s="42">
        <f>(T257-O257)/T257</f>
        <v>0.30000000000000004</v>
      </c>
      <c r="Y257" s="45"/>
      <c r="Z257" s="46"/>
      <c r="AA257" s="47"/>
      <c r="AB257" s="60"/>
    </row>
    <row r="258" spans="2:28" ht="14.4" customHeight="1">
      <c r="B258" s="4">
        <v>163</v>
      </c>
      <c r="C258" s="5" t="s">
        <v>96</v>
      </c>
      <c r="D258" s="5" t="str">
        <f>REPLACE(C258,1,3, )</f>
        <v xml:space="preserve"> 252</v>
      </c>
      <c r="E258" s="6" t="s">
        <v>96</v>
      </c>
      <c r="F258" s="7">
        <f>IF(C258=E258,0,1)</f>
        <v>0</v>
      </c>
      <c r="G258" s="11" t="s">
        <v>20</v>
      </c>
      <c r="H258" s="11" t="s">
        <v>50</v>
      </c>
      <c r="I258" s="11" t="s">
        <v>358</v>
      </c>
      <c r="J258" s="12">
        <v>73500</v>
      </c>
      <c r="K258" s="13">
        <f>J258-M258</f>
        <v>7500</v>
      </c>
      <c r="L258" s="7" t="s">
        <v>23</v>
      </c>
      <c r="M258" s="14">
        <f>J258-N258</f>
        <v>66000</v>
      </c>
      <c r="N258" s="15">
        <f>2000+300+600+1000+3600</f>
        <v>7500</v>
      </c>
      <c r="O258" s="39">
        <f>M258+N258</f>
        <v>73500</v>
      </c>
      <c r="P258" s="95"/>
      <c r="Q258" s="3" t="s">
        <v>412</v>
      </c>
      <c r="R258" s="36"/>
      <c r="S258" s="36">
        <f>R258+O258</f>
        <v>73500</v>
      </c>
      <c r="T258" s="36">
        <f>S258/0.7</f>
        <v>105000</v>
      </c>
      <c r="U258" s="40">
        <f>T258/0.875</f>
        <v>120000</v>
      </c>
      <c r="V258" s="41">
        <f>(U258-T258)/U258</f>
        <v>0.125</v>
      </c>
      <c r="W258" s="40">
        <f>(ROUNDUP((U258/100),0))*100</f>
        <v>120000</v>
      </c>
      <c r="X258" s="42">
        <f>(T258-O258)/T258</f>
        <v>0.3</v>
      </c>
      <c r="Y258" s="45">
        <v>105000</v>
      </c>
      <c r="Z258" s="46">
        <f>T258-Y258</f>
        <v>0</v>
      </c>
      <c r="AA258" s="47">
        <f>Z258/Y258</f>
        <v>0</v>
      </c>
      <c r="AB258" s="60"/>
    </row>
    <row r="259" spans="2:28" ht="14.4" customHeight="1">
      <c r="B259" s="4">
        <v>164</v>
      </c>
      <c r="C259" s="5" t="s">
        <v>55</v>
      </c>
      <c r="D259" s="5" t="str">
        <f>REPLACE(C259,1,3, )</f>
        <v xml:space="preserve"> 126</v>
      </c>
      <c r="E259" s="6" t="s">
        <v>55</v>
      </c>
      <c r="F259" s="7">
        <f>IF(C259=E259,0,1)</f>
        <v>0</v>
      </c>
      <c r="G259" s="11" t="s">
        <v>298</v>
      </c>
      <c r="H259" s="11" t="s">
        <v>50</v>
      </c>
      <c r="I259" s="11" t="s">
        <v>358</v>
      </c>
      <c r="J259" s="12">
        <v>77000</v>
      </c>
      <c r="K259" s="13">
        <f>J259-M259</f>
        <v>7500</v>
      </c>
      <c r="L259" s="7" t="s">
        <v>23</v>
      </c>
      <c r="M259" s="14">
        <f>J259-N259</f>
        <v>69500</v>
      </c>
      <c r="N259" s="15">
        <f>2000+300+600+1000+3600</f>
        <v>7500</v>
      </c>
      <c r="O259" s="39">
        <f>M259+N259</f>
        <v>77000</v>
      </c>
      <c r="P259" s="95"/>
      <c r="Q259" s="3" t="s">
        <v>412</v>
      </c>
      <c r="R259" s="36"/>
      <c r="S259" s="36">
        <f>R259+O259</f>
        <v>77000</v>
      </c>
      <c r="T259" s="36">
        <f>S259/0.7</f>
        <v>110000</v>
      </c>
      <c r="U259" s="40">
        <f>T259/0.875</f>
        <v>125714.28571428571</v>
      </c>
      <c r="V259" s="41">
        <f>(U259-T259)/U259</f>
        <v>0.12499999999999997</v>
      </c>
      <c r="W259" s="40">
        <f>(ROUNDUP((U259/100),0))*100</f>
        <v>125800</v>
      </c>
      <c r="X259" s="42">
        <f>(T259-O259)/T259</f>
        <v>0.3</v>
      </c>
      <c r="Y259" s="43"/>
      <c r="Z259" s="43"/>
      <c r="AA259" s="43"/>
      <c r="AB259" s="59"/>
    </row>
    <row r="260" spans="2:28" ht="14.4" customHeight="1">
      <c r="B260" s="4">
        <v>165</v>
      </c>
      <c r="C260" s="6" t="s">
        <v>966</v>
      </c>
      <c r="D260" s="5" t="str">
        <f>REPLACE(C260,1,3, )</f>
        <v xml:space="preserve"> 250</v>
      </c>
      <c r="E260" s="6" t="s">
        <v>966</v>
      </c>
      <c r="F260" s="7">
        <f>IF(C260=E260,0,1)</f>
        <v>0</v>
      </c>
      <c r="G260" s="8" t="s">
        <v>298</v>
      </c>
      <c r="H260" s="11" t="s">
        <v>50</v>
      </c>
      <c r="I260" s="8" t="s">
        <v>640</v>
      </c>
      <c r="J260" s="12">
        <v>84000</v>
      </c>
      <c r="K260" s="13">
        <f>J260-M260</f>
        <v>7400</v>
      </c>
      <c r="L260" s="7"/>
      <c r="M260" s="14">
        <f>J260-N260</f>
        <v>76600</v>
      </c>
      <c r="N260" s="15">
        <f>2000+200+600+1000+3600</f>
        <v>7400</v>
      </c>
      <c r="O260" s="39">
        <f>M260+N260</f>
        <v>84000</v>
      </c>
      <c r="P260" s="95"/>
      <c r="Q260" s="77" t="s">
        <v>1369</v>
      </c>
      <c r="R260" s="36"/>
      <c r="S260" s="36">
        <f>R260+O260</f>
        <v>84000</v>
      </c>
      <c r="T260" s="36">
        <f>S260/0.7</f>
        <v>120000.00000000001</v>
      </c>
      <c r="U260" s="40">
        <f>T260/0.875</f>
        <v>137142.85714285716</v>
      </c>
      <c r="V260" s="41">
        <f>(U260-T260)/U260</f>
        <v>0.125</v>
      </c>
      <c r="W260" s="40">
        <f>(ROUNDUP((U260/100),0))*100</f>
        <v>137200</v>
      </c>
      <c r="X260" s="42">
        <f>(T260-O260)/T260</f>
        <v>0.3000000000000001</v>
      </c>
      <c r="Y260" s="43"/>
      <c r="Z260" s="43"/>
      <c r="AA260" s="43"/>
      <c r="AB260" s="59"/>
    </row>
    <row r="261" spans="2:28" ht="14.4" customHeight="1">
      <c r="B261" s="4">
        <v>166</v>
      </c>
      <c r="C261" s="6" t="s">
        <v>969</v>
      </c>
      <c r="D261" s="5" t="str">
        <f>REPLACE(C261,1,3, )</f>
        <v xml:space="preserve"> 708</v>
      </c>
      <c r="E261" s="6" t="s">
        <v>969</v>
      </c>
      <c r="F261" s="7">
        <f>IF(C261=E261,0,1)</f>
        <v>0</v>
      </c>
      <c r="G261" s="8" t="s">
        <v>298</v>
      </c>
      <c r="H261" s="11" t="s">
        <v>50</v>
      </c>
      <c r="I261" s="8" t="s">
        <v>638</v>
      </c>
      <c r="J261" s="12">
        <f>75000</f>
        <v>75000</v>
      </c>
      <c r="K261" s="13">
        <f>J261-M261</f>
        <v>5800</v>
      </c>
      <c r="L261" s="7" t="s">
        <v>23</v>
      </c>
      <c r="M261" s="14">
        <f>J261-N261</f>
        <v>69200</v>
      </c>
      <c r="N261" s="15">
        <f>2000+200+600+3000</f>
        <v>5800</v>
      </c>
      <c r="O261" s="39">
        <f>M261+N261</f>
        <v>75000</v>
      </c>
      <c r="P261" s="95"/>
      <c r="Q261" s="77" t="s">
        <v>1356</v>
      </c>
      <c r="R261" s="36"/>
      <c r="S261" s="36">
        <f>R261+O261</f>
        <v>75000</v>
      </c>
      <c r="T261" s="36">
        <f>S261/0.7</f>
        <v>107142.85714285714</v>
      </c>
      <c r="U261" s="40">
        <f>T261/0.875</f>
        <v>122448.97959183673</v>
      </c>
      <c r="V261" s="41">
        <f>(U261-T261)/U261</f>
        <v>0.12499999999999996</v>
      </c>
      <c r="W261" s="40">
        <f>(ROUNDUP((U261/100),0))*100</f>
        <v>122500</v>
      </c>
      <c r="X261" s="42">
        <f>(T261-O261)/T261</f>
        <v>0.3</v>
      </c>
      <c r="Y261" s="43"/>
      <c r="Z261" s="43"/>
      <c r="AA261" s="43"/>
      <c r="AB261" s="59"/>
    </row>
    <row r="262" spans="2:28" ht="14.4" customHeight="1">
      <c r="B262" s="4">
        <v>167</v>
      </c>
      <c r="C262" s="5" t="s">
        <v>54</v>
      </c>
      <c r="D262" s="5" t="str">
        <f>REPLACE(C262,1,3, )</f>
        <v xml:space="preserve"> 194</v>
      </c>
      <c r="E262" s="6" t="s">
        <v>54</v>
      </c>
      <c r="F262" s="7">
        <f>IF(C262=E262,0,1)</f>
        <v>0</v>
      </c>
      <c r="G262" s="11" t="s">
        <v>20</v>
      </c>
      <c r="H262" s="11" t="s">
        <v>50</v>
      </c>
      <c r="I262" s="11" t="s">
        <v>358</v>
      </c>
      <c r="J262" s="12">
        <v>83000</v>
      </c>
      <c r="K262" s="13">
        <f>J262-M262</f>
        <v>7500</v>
      </c>
      <c r="L262" s="7" t="s">
        <v>23</v>
      </c>
      <c r="M262" s="14">
        <f>J262-N262</f>
        <v>75500</v>
      </c>
      <c r="N262" s="15">
        <v>7500</v>
      </c>
      <c r="O262" s="39">
        <f>M262+N262</f>
        <v>83000</v>
      </c>
      <c r="P262" s="96"/>
      <c r="Q262" s="3" t="s">
        <v>412</v>
      </c>
      <c r="R262" s="36"/>
      <c r="S262" s="36">
        <f>R262+O262</f>
        <v>83000</v>
      </c>
      <c r="T262" s="36">
        <f>S262/0.7</f>
        <v>118571.42857142858</v>
      </c>
      <c r="U262" s="40">
        <f>T262/0.875</f>
        <v>135510.20408163266</v>
      </c>
      <c r="V262" s="41">
        <f>(U262-T262)/U262</f>
        <v>0.125</v>
      </c>
      <c r="W262" s="40">
        <f>(ROUNDUP((U262/100),0))*100</f>
        <v>135600</v>
      </c>
      <c r="X262" s="42">
        <f>(T262-O262)/T262</f>
        <v>0.30000000000000004</v>
      </c>
      <c r="Y262" s="45">
        <v>118650</v>
      </c>
      <c r="Z262" s="46">
        <f>T262-Y262</f>
        <v>-78.571428571420256</v>
      </c>
      <c r="AA262" s="47">
        <f>Z262/Y262</f>
        <v>-6.6221178736974515E-4</v>
      </c>
      <c r="AB262" s="60"/>
    </row>
    <row r="263" spans="2:28" ht="14.4" customHeight="1">
      <c r="B263" s="4">
        <v>168</v>
      </c>
      <c r="C263" s="5" t="s">
        <v>51</v>
      </c>
      <c r="D263" s="5" t="str">
        <f>REPLACE(C263,1,3, )</f>
        <v xml:space="preserve"> 690</v>
      </c>
      <c r="E263" s="6" t="s">
        <v>51</v>
      </c>
      <c r="F263" s="7">
        <f>IF(C263=E263,0,1)</f>
        <v>0</v>
      </c>
      <c r="G263" s="11" t="s">
        <v>20</v>
      </c>
      <c r="H263" s="11" t="s">
        <v>50</v>
      </c>
      <c r="I263" s="11" t="s">
        <v>358</v>
      </c>
      <c r="J263" s="12">
        <v>75050</v>
      </c>
      <c r="K263" s="13">
        <f>J263-M263</f>
        <v>7150</v>
      </c>
      <c r="L263" s="7" t="s">
        <v>23</v>
      </c>
      <c r="M263" s="14">
        <f>J263-N263</f>
        <v>67900</v>
      </c>
      <c r="N263" s="15">
        <f>2000+300+600+650+3600</f>
        <v>7150</v>
      </c>
      <c r="O263" s="39">
        <f>M263+N263</f>
        <v>75050</v>
      </c>
      <c r="P263" s="95"/>
      <c r="Q263" s="3" t="s">
        <v>428</v>
      </c>
      <c r="R263" s="36"/>
      <c r="S263" s="36">
        <f>R263+O263</f>
        <v>75050</v>
      </c>
      <c r="T263" s="36">
        <f>S263/0.7</f>
        <v>107214.28571428572</v>
      </c>
      <c r="U263" s="40">
        <f>T263/0.875</f>
        <v>122530.61224489797</v>
      </c>
      <c r="V263" s="41">
        <f>(U263-T263)/U263</f>
        <v>0.12500000000000003</v>
      </c>
      <c r="W263" s="40">
        <f>(ROUNDUP((U263/100),0))*100</f>
        <v>122600</v>
      </c>
      <c r="X263" s="42">
        <f>(T263-O263)/T263</f>
        <v>0.30000000000000004</v>
      </c>
      <c r="Y263" s="45">
        <v>107275</v>
      </c>
      <c r="Z263" s="46">
        <f>T263-Y263</f>
        <v>-60.71428571427532</v>
      </c>
      <c r="AA263" s="47">
        <f>Z263/Y263</f>
        <v>-5.6596863867886568E-4</v>
      </c>
      <c r="AB263" s="60"/>
    </row>
    <row r="264" spans="2:28" ht="14.4" customHeight="1">
      <c r="B264" s="4">
        <v>169</v>
      </c>
      <c r="C264" s="5" t="s">
        <v>53</v>
      </c>
      <c r="D264" s="5" t="str">
        <f>REPLACE(C264,1,3, )</f>
        <v xml:space="preserve"> 318</v>
      </c>
      <c r="E264" s="6" t="s">
        <v>53</v>
      </c>
      <c r="F264" s="7">
        <f>IF(C264=E264,0,1)</f>
        <v>0</v>
      </c>
      <c r="G264" s="11" t="s">
        <v>20</v>
      </c>
      <c r="H264" s="11" t="s">
        <v>50</v>
      </c>
      <c r="I264" s="11" t="s">
        <v>358</v>
      </c>
      <c r="J264" s="12">
        <v>84300</v>
      </c>
      <c r="K264" s="13">
        <f>J264-M264</f>
        <v>7500</v>
      </c>
      <c r="L264" s="7" t="s">
        <v>23</v>
      </c>
      <c r="M264" s="14">
        <f>J264-N264</f>
        <v>76800</v>
      </c>
      <c r="N264" s="15">
        <v>7500</v>
      </c>
      <c r="O264" s="39">
        <f>M264+N264</f>
        <v>84300</v>
      </c>
      <c r="P264" s="95"/>
      <c r="Q264" s="3" t="s">
        <v>432</v>
      </c>
      <c r="R264" s="36"/>
      <c r="S264" s="36">
        <f>R264+O264</f>
        <v>84300</v>
      </c>
      <c r="T264" s="36">
        <f>S264/0.7</f>
        <v>120428.57142857143</v>
      </c>
      <c r="U264" s="40">
        <f>T264/0.875</f>
        <v>137632.6530612245</v>
      </c>
      <c r="V264" s="41">
        <f>(U264-T264)/U264</f>
        <v>0.125</v>
      </c>
      <c r="W264" s="40">
        <f>(ROUNDUP((U264/100),0))*100</f>
        <v>137700</v>
      </c>
      <c r="X264" s="42">
        <f>(T264-O264)/T264</f>
        <v>0.30000000000000004</v>
      </c>
      <c r="Y264" s="45">
        <v>121888</v>
      </c>
      <c r="Z264" s="46">
        <f>T264-Y264</f>
        <v>-1459.4285714285652</v>
      </c>
      <c r="AA264" s="47">
        <f>Z264/Y264</f>
        <v>-1.1973521359186837E-2</v>
      </c>
      <c r="AB264" s="60"/>
    </row>
    <row r="265" spans="2:28" ht="14.4" customHeight="1">
      <c r="B265" s="4">
        <v>170</v>
      </c>
      <c r="C265" s="6" t="s">
        <v>974</v>
      </c>
      <c r="D265" s="5" t="str">
        <f>REPLACE(C265,1,3, )</f>
        <v xml:space="preserve"> 627</v>
      </c>
      <c r="E265" s="6" t="s">
        <v>974</v>
      </c>
      <c r="F265" s="7">
        <f>IF(C265=E265,0,1)</f>
        <v>0</v>
      </c>
      <c r="G265" s="11" t="s">
        <v>298</v>
      </c>
      <c r="H265" s="11" t="s">
        <v>50</v>
      </c>
      <c r="I265" s="11" t="s">
        <v>600</v>
      </c>
      <c r="J265" s="12">
        <f>M265</f>
        <v>50000</v>
      </c>
      <c r="K265" s="183">
        <f>J265-M265</f>
        <v>0</v>
      </c>
      <c r="L265" s="17" t="s">
        <v>22</v>
      </c>
      <c r="M265" s="18">
        <v>50000</v>
      </c>
      <c r="N265" s="15">
        <f>2000+300+600+650+3000</f>
        <v>6550</v>
      </c>
      <c r="O265" s="39">
        <f>M265+N265</f>
        <v>56550</v>
      </c>
      <c r="P265" s="95"/>
      <c r="Q265" s="77" t="s">
        <v>1545</v>
      </c>
      <c r="R265" s="36"/>
      <c r="S265" s="36">
        <f>R265+O265</f>
        <v>56550</v>
      </c>
      <c r="T265" s="36">
        <f>S265/0.7</f>
        <v>80785.71428571429</v>
      </c>
      <c r="U265" s="40">
        <f>T265/0.875</f>
        <v>92326.530612244896</v>
      </c>
      <c r="V265" s="41">
        <f>(U265-T265)/U265</f>
        <v>0.12499999999999994</v>
      </c>
      <c r="W265" s="40">
        <f>(ROUNDUP((U265/100),0))*100</f>
        <v>92400</v>
      </c>
      <c r="X265" s="42">
        <f>(T265-O265)/T265</f>
        <v>0.30000000000000004</v>
      </c>
      <c r="Y265" s="45"/>
      <c r="Z265" s="46"/>
      <c r="AA265" s="47"/>
      <c r="AB265" s="60"/>
    </row>
    <row r="266" spans="2:28" ht="14.4" customHeight="1">
      <c r="B266" s="4">
        <v>171</v>
      </c>
      <c r="C266" s="5" t="s">
        <v>976</v>
      </c>
      <c r="D266" s="5" t="str">
        <f>REPLACE(C266,1,3, )</f>
        <v xml:space="preserve"> 723</v>
      </c>
      <c r="E266" s="6" t="s">
        <v>976</v>
      </c>
      <c r="F266" s="7">
        <f>IF(C266=E266,0,1)</f>
        <v>0</v>
      </c>
      <c r="G266" s="11" t="s">
        <v>20</v>
      </c>
      <c r="H266" s="11" t="s">
        <v>50</v>
      </c>
      <c r="I266" s="11" t="s">
        <v>1352</v>
      </c>
      <c r="J266" s="12">
        <f>77000+9500</f>
        <v>86500</v>
      </c>
      <c r="K266" s="13">
        <f>J266-M266</f>
        <v>7400</v>
      </c>
      <c r="L266" s="7" t="s">
        <v>23</v>
      </c>
      <c r="M266" s="14">
        <f>J266-N266</f>
        <v>79100</v>
      </c>
      <c r="N266" s="15">
        <f>2000+200+600+1000+3600</f>
        <v>7400</v>
      </c>
      <c r="O266" s="39">
        <f>M266+N266</f>
        <v>86500</v>
      </c>
      <c r="P266" s="95"/>
      <c r="Q266" s="77" t="s">
        <v>1355</v>
      </c>
      <c r="R266" s="36"/>
      <c r="S266" s="36">
        <f>R266+O266</f>
        <v>86500</v>
      </c>
      <c r="T266" s="36">
        <f>S266/0.7</f>
        <v>123571.42857142858</v>
      </c>
      <c r="U266" s="40">
        <f>T266/0.875</f>
        <v>141224.48979591837</v>
      </c>
      <c r="V266" s="41">
        <f>(U266-T266)/U266</f>
        <v>0.12499999999999997</v>
      </c>
      <c r="W266" s="40">
        <f>(ROUNDUP((U266/100),0))*100</f>
        <v>141300</v>
      </c>
      <c r="X266" s="42">
        <f>(T266-O266)/T266</f>
        <v>0.30000000000000004</v>
      </c>
      <c r="Y266" s="45">
        <v>113575</v>
      </c>
      <c r="Z266" s="46">
        <f>T266-Y266</f>
        <v>9996.4285714285797</v>
      </c>
      <c r="AA266" s="47">
        <f>Z266/Y266</f>
        <v>8.8016100122637719E-2</v>
      </c>
      <c r="AB266" s="60"/>
    </row>
    <row r="267" spans="2:28" ht="14.4" customHeight="1">
      <c r="B267" s="4">
        <v>172</v>
      </c>
      <c r="C267" s="5" t="s">
        <v>240</v>
      </c>
      <c r="D267" s="5" t="str">
        <f>REPLACE(C267,1,3, )</f>
        <v xml:space="preserve"> 813</v>
      </c>
      <c r="E267" s="6" t="s">
        <v>240</v>
      </c>
      <c r="F267" s="7">
        <f>IF(C267=E267,0,1)</f>
        <v>0</v>
      </c>
      <c r="G267" s="11" t="s">
        <v>298</v>
      </c>
      <c r="H267" s="11" t="s">
        <v>50</v>
      </c>
      <c r="I267" s="11" t="s">
        <v>358</v>
      </c>
      <c r="J267" s="12">
        <v>80000</v>
      </c>
      <c r="K267" s="13">
        <f>J267-M267</f>
        <v>7500</v>
      </c>
      <c r="L267" s="7" t="s">
        <v>23</v>
      </c>
      <c r="M267" s="14">
        <f>J267-N267</f>
        <v>72500</v>
      </c>
      <c r="N267" s="15">
        <v>7500</v>
      </c>
      <c r="O267" s="39">
        <f>M267+N267</f>
        <v>80000</v>
      </c>
      <c r="P267" s="95"/>
      <c r="Q267" s="3" t="s">
        <v>412</v>
      </c>
      <c r="R267" s="36"/>
      <c r="S267" s="36">
        <f>R267+O267</f>
        <v>80000</v>
      </c>
      <c r="T267" s="36">
        <f>S267/0.7</f>
        <v>114285.71428571429</v>
      </c>
      <c r="U267" s="40">
        <f>T267/0.875</f>
        <v>130612.24489795919</v>
      </c>
      <c r="V267" s="41">
        <f>(U267-T267)/U267</f>
        <v>0.12499999999999999</v>
      </c>
      <c r="W267" s="40">
        <f>(ROUNDUP((U267/100),0))*100</f>
        <v>130700</v>
      </c>
      <c r="X267" s="42">
        <f>(T267-O267)/T267</f>
        <v>0.30000000000000004</v>
      </c>
      <c r="Y267" s="43"/>
      <c r="Z267" s="43"/>
      <c r="AA267" s="44"/>
      <c r="AB267" s="60"/>
    </row>
    <row r="268" spans="2:28" ht="14.4" customHeight="1">
      <c r="B268" s="4">
        <v>173</v>
      </c>
      <c r="C268" s="6" t="s">
        <v>979</v>
      </c>
      <c r="D268" s="5" t="str">
        <f>REPLACE(C268,1,3, )</f>
        <v xml:space="preserve"> 866</v>
      </c>
      <c r="E268" s="6" t="s">
        <v>979</v>
      </c>
      <c r="F268" s="7">
        <f>IF(C268=E268,0,1)</f>
        <v>0</v>
      </c>
      <c r="G268" s="11" t="s">
        <v>20</v>
      </c>
      <c r="H268" s="11" t="s">
        <v>50</v>
      </c>
      <c r="I268" s="11" t="s">
        <v>601</v>
      </c>
      <c r="J268" s="12"/>
      <c r="K268" s="13">
        <f>J268-M268</f>
        <v>0</v>
      </c>
      <c r="L268" s="7"/>
      <c r="M268" s="14">
        <f>J268-N268</f>
        <v>0</v>
      </c>
      <c r="N268" s="15"/>
      <c r="O268" s="39">
        <f>M268+N268</f>
        <v>0</v>
      </c>
      <c r="P268" s="95"/>
      <c r="Q268" s="3"/>
      <c r="R268" s="36"/>
      <c r="S268" s="36">
        <f>R268+O268</f>
        <v>0</v>
      </c>
      <c r="T268" s="36">
        <f>S268/0.7</f>
        <v>0</v>
      </c>
      <c r="U268" s="40">
        <f>T268/0.875</f>
        <v>0</v>
      </c>
      <c r="V268" s="41" t="e">
        <f>(U268-T268)/U268</f>
        <v>#DIV/0!</v>
      </c>
      <c r="W268" s="40">
        <f>(ROUNDUP((U268/100),0))*100</f>
        <v>0</v>
      </c>
      <c r="X268" s="42" t="e">
        <f>(T268-O268)/T268</f>
        <v>#DIV/0!</v>
      </c>
      <c r="Y268" s="45">
        <v>124838</v>
      </c>
      <c r="Z268" s="46">
        <f>T268-Y268</f>
        <v>-124838</v>
      </c>
      <c r="AA268" s="47">
        <f>Z268/Y268</f>
        <v>-1</v>
      </c>
      <c r="AB268" s="60"/>
    </row>
    <row r="269" spans="2:28" ht="14.4" customHeight="1">
      <c r="B269" s="4">
        <v>174</v>
      </c>
      <c r="C269" s="5" t="s">
        <v>199</v>
      </c>
      <c r="D269" s="5" t="str">
        <f>REPLACE(C269,1,3, )</f>
        <v xml:space="preserve"> 950</v>
      </c>
      <c r="E269" s="6" t="s">
        <v>199</v>
      </c>
      <c r="F269" s="7">
        <f>IF(C269=E269,0,1)</f>
        <v>0</v>
      </c>
      <c r="G269" s="11" t="s">
        <v>298</v>
      </c>
      <c r="H269" s="11" t="s">
        <v>50</v>
      </c>
      <c r="I269" s="11" t="s">
        <v>349</v>
      </c>
      <c r="J269" s="12">
        <v>70000</v>
      </c>
      <c r="K269" s="13">
        <f>J269-M269</f>
        <v>7500</v>
      </c>
      <c r="L269" s="7" t="s">
        <v>23</v>
      </c>
      <c r="M269" s="14">
        <f>J269-N269</f>
        <v>62500</v>
      </c>
      <c r="N269" s="15">
        <f>2000+300+600+1000+3600</f>
        <v>7500</v>
      </c>
      <c r="O269" s="39">
        <f>M269+N269</f>
        <v>70000</v>
      </c>
      <c r="P269" s="95"/>
      <c r="Q269" s="3" t="s">
        <v>412</v>
      </c>
      <c r="R269" s="36"/>
      <c r="S269" s="36">
        <f>R269+O269</f>
        <v>70000</v>
      </c>
      <c r="T269" s="36">
        <f>S269/0.7</f>
        <v>100000</v>
      </c>
      <c r="U269" s="40">
        <f>T269/0.875</f>
        <v>114285.71428571429</v>
      </c>
      <c r="V269" s="41">
        <f>(U269-T269)/U269</f>
        <v>0.12500000000000003</v>
      </c>
      <c r="W269" s="40">
        <f>(ROUNDUP((U269/100),0))*100</f>
        <v>114300</v>
      </c>
      <c r="X269" s="42">
        <f>(T269-O269)/T269</f>
        <v>0.3</v>
      </c>
      <c r="Y269" s="43"/>
      <c r="Z269" s="43"/>
      <c r="AA269" s="44"/>
      <c r="AB269" s="60"/>
    </row>
    <row r="270" spans="2:28" ht="14.4" customHeight="1">
      <c r="B270" s="4">
        <v>175</v>
      </c>
      <c r="C270" s="5" t="s">
        <v>201</v>
      </c>
      <c r="D270" s="5" t="str">
        <f>REPLACE(C270,1,3, )</f>
        <v xml:space="preserve"> 807</v>
      </c>
      <c r="E270" s="6" t="s">
        <v>201</v>
      </c>
      <c r="F270" s="7">
        <f>IF(C270=E270,0,1)</f>
        <v>0</v>
      </c>
      <c r="G270" s="11" t="s">
        <v>298</v>
      </c>
      <c r="H270" s="11" t="s">
        <v>50</v>
      </c>
      <c r="I270" s="11" t="s">
        <v>349</v>
      </c>
      <c r="J270" s="12">
        <v>70000</v>
      </c>
      <c r="K270" s="13">
        <f>J270-M270</f>
        <v>7500</v>
      </c>
      <c r="L270" s="7" t="s">
        <v>23</v>
      </c>
      <c r="M270" s="14">
        <f>J270-N270</f>
        <v>62500</v>
      </c>
      <c r="N270" s="15">
        <f>2000+300+600+1000+3600</f>
        <v>7500</v>
      </c>
      <c r="O270" s="39">
        <f>M270+N270</f>
        <v>70000</v>
      </c>
      <c r="P270" s="95"/>
      <c r="Q270" s="3" t="s">
        <v>412</v>
      </c>
      <c r="R270" s="36"/>
      <c r="S270" s="36">
        <f>R270+O270</f>
        <v>70000</v>
      </c>
      <c r="T270" s="36">
        <f>S270/0.7</f>
        <v>100000</v>
      </c>
      <c r="U270" s="40">
        <f>T270/0.875</f>
        <v>114285.71428571429</v>
      </c>
      <c r="V270" s="41">
        <f>(U270-T270)/U270</f>
        <v>0.12500000000000003</v>
      </c>
      <c r="W270" s="40">
        <f>(ROUNDUP((U270/100),0))*100</f>
        <v>114300</v>
      </c>
      <c r="X270" s="42">
        <f>(T270-O270)/T270</f>
        <v>0.3</v>
      </c>
      <c r="Y270" s="43"/>
      <c r="Z270" s="43"/>
      <c r="AA270" s="44"/>
      <c r="AB270" s="60"/>
    </row>
    <row r="271" spans="2:28" ht="14.4" customHeight="1">
      <c r="B271" s="4">
        <v>176</v>
      </c>
      <c r="C271" s="5" t="s">
        <v>983</v>
      </c>
      <c r="D271" s="5" t="str">
        <f>REPLACE(C271,1,3, )</f>
        <v xml:space="preserve"> 448</v>
      </c>
      <c r="E271" s="6" t="s">
        <v>983</v>
      </c>
      <c r="F271" s="7">
        <f>IF(C271=E271,0,1)</f>
        <v>0</v>
      </c>
      <c r="G271" s="11" t="s">
        <v>20</v>
      </c>
      <c r="H271" s="11" t="s">
        <v>50</v>
      </c>
      <c r="I271" s="11" t="s">
        <v>641</v>
      </c>
      <c r="J271" s="90">
        <v>71000</v>
      </c>
      <c r="K271" s="90">
        <f>J271-M271</f>
        <v>0</v>
      </c>
      <c r="L271" s="103" t="s">
        <v>1428</v>
      </c>
      <c r="M271" s="86">
        <f>J271</f>
        <v>71000</v>
      </c>
      <c r="N271" s="87">
        <f>2000+3450+800+300+1000</f>
        <v>7550</v>
      </c>
      <c r="O271" s="101">
        <f>M271+N271</f>
        <v>78550</v>
      </c>
      <c r="P271" s="95"/>
      <c r="Q271" s="88" t="s">
        <v>1409</v>
      </c>
      <c r="R271" s="36"/>
      <c r="S271" s="36">
        <f>R271+O271</f>
        <v>78550</v>
      </c>
      <c r="T271" s="36">
        <f>S271/0.7</f>
        <v>112214.28571428572</v>
      </c>
      <c r="U271" s="40">
        <f>T271/0.875</f>
        <v>128244.89795918368</v>
      </c>
      <c r="V271" s="41">
        <f>(U271-T271)/U271</f>
        <v>0.12499999999999999</v>
      </c>
      <c r="W271" s="40">
        <f>(ROUNDUP((U271/100),0))*100</f>
        <v>128300</v>
      </c>
      <c r="X271" s="42">
        <f>(T271-O271)/T271</f>
        <v>0.30000000000000004</v>
      </c>
      <c r="Y271" s="45">
        <v>115150</v>
      </c>
      <c r="Z271" s="46">
        <f>T271-Y271</f>
        <v>-2935.7142857142753</v>
      </c>
      <c r="AA271" s="47">
        <f>Z271/Y271</f>
        <v>-2.5494696358786584E-2</v>
      </c>
      <c r="AB271" s="60"/>
    </row>
    <row r="272" spans="2:28" ht="14.4" customHeight="1">
      <c r="B272" s="4">
        <v>177</v>
      </c>
      <c r="C272" s="5" t="s">
        <v>203</v>
      </c>
      <c r="D272" s="5" t="str">
        <f>REPLACE(C272,1,3, )</f>
        <v xml:space="preserve"> 226</v>
      </c>
      <c r="E272" s="6" t="s">
        <v>203</v>
      </c>
      <c r="F272" s="7">
        <f>IF(C272=E272,0,1)</f>
        <v>0</v>
      </c>
      <c r="G272" s="11" t="s">
        <v>298</v>
      </c>
      <c r="H272" s="11" t="s">
        <v>50</v>
      </c>
      <c r="I272" s="11" t="s">
        <v>349</v>
      </c>
      <c r="J272" s="12">
        <v>70000</v>
      </c>
      <c r="K272" s="13">
        <f>J272-M272</f>
        <v>7500</v>
      </c>
      <c r="L272" s="7" t="s">
        <v>23</v>
      </c>
      <c r="M272" s="14">
        <f>J272-N272</f>
        <v>62500</v>
      </c>
      <c r="N272" s="15">
        <f>2000+300+600+1000+3600</f>
        <v>7500</v>
      </c>
      <c r="O272" s="39">
        <f>M272+N272</f>
        <v>70000</v>
      </c>
      <c r="P272" s="95"/>
      <c r="Q272" s="3" t="s">
        <v>412</v>
      </c>
      <c r="R272" s="36"/>
      <c r="S272" s="36">
        <f>R272+O272</f>
        <v>70000</v>
      </c>
      <c r="T272" s="36">
        <f>S272/0.7</f>
        <v>100000</v>
      </c>
      <c r="U272" s="40">
        <f>T272/0.875</f>
        <v>114285.71428571429</v>
      </c>
      <c r="V272" s="41">
        <f>(U272-T272)/U272</f>
        <v>0.12500000000000003</v>
      </c>
      <c r="W272" s="40">
        <f>(ROUNDUP((U272/100),0))*100</f>
        <v>114300</v>
      </c>
      <c r="X272" s="42">
        <f>(T272-O272)/T272</f>
        <v>0.3</v>
      </c>
      <c r="Y272" s="43"/>
      <c r="Z272" s="43"/>
      <c r="AA272" s="43"/>
      <c r="AB272" s="59"/>
    </row>
    <row r="273" spans="1:76" ht="14.4" customHeight="1">
      <c r="B273" s="4">
        <v>178</v>
      </c>
      <c r="C273" s="5" t="s">
        <v>986</v>
      </c>
      <c r="D273" s="5" t="str">
        <f>REPLACE(C273,1,3, )</f>
        <v xml:space="preserve"> 132</v>
      </c>
      <c r="E273" s="6" t="s">
        <v>986</v>
      </c>
      <c r="F273" s="7">
        <f>IF(C273=E273,0,1)</f>
        <v>0</v>
      </c>
      <c r="G273" s="11" t="s">
        <v>20</v>
      </c>
      <c r="H273" s="11" t="s">
        <v>50</v>
      </c>
      <c r="I273" s="11" t="s">
        <v>1352</v>
      </c>
      <c r="J273" s="12">
        <f>80000+11000</f>
        <v>91000</v>
      </c>
      <c r="K273" s="13">
        <f>J273-M273</f>
        <v>7400</v>
      </c>
      <c r="L273" s="7" t="s">
        <v>23</v>
      </c>
      <c r="M273" s="14">
        <f>J273-N273</f>
        <v>83600</v>
      </c>
      <c r="N273" s="15">
        <f>2000+200+600+1000+3600</f>
        <v>7400</v>
      </c>
      <c r="O273" s="39">
        <f>M273+N273</f>
        <v>91000</v>
      </c>
      <c r="P273" s="95"/>
      <c r="Q273" s="77" t="s">
        <v>1355</v>
      </c>
      <c r="R273" s="36"/>
      <c r="S273" s="36">
        <f>R273+O273</f>
        <v>91000</v>
      </c>
      <c r="T273" s="36">
        <f>S273/0.7</f>
        <v>130000.00000000001</v>
      </c>
      <c r="U273" s="40">
        <f>T273/0.875</f>
        <v>148571.42857142858</v>
      </c>
      <c r="V273" s="41">
        <f>(U273-T273)/U273</f>
        <v>0.12499999999999994</v>
      </c>
      <c r="W273" s="40">
        <f>(ROUNDUP((U273/100),0))*100</f>
        <v>148600</v>
      </c>
      <c r="X273" s="42">
        <f>(T273-O273)/T273</f>
        <v>0.3000000000000001</v>
      </c>
      <c r="Y273" s="45">
        <v>117863</v>
      </c>
      <c r="Z273" s="46">
        <f>T273-Y273</f>
        <v>12137.000000000015</v>
      </c>
      <c r="AA273" s="47">
        <f>Z273/Y273</f>
        <v>0.10297548849087512</v>
      </c>
      <c r="AB273" s="60"/>
    </row>
    <row r="274" spans="1:76" ht="14.4" customHeight="1">
      <c r="B274" s="4">
        <v>179</v>
      </c>
      <c r="C274" s="5" t="s">
        <v>52</v>
      </c>
      <c r="D274" s="5" t="str">
        <f>REPLACE(C274,1,3, )</f>
        <v xml:space="preserve"> 697</v>
      </c>
      <c r="E274" s="6" t="s">
        <v>52</v>
      </c>
      <c r="F274" s="7">
        <f>IF(C274=E274,0,1)</f>
        <v>0</v>
      </c>
      <c r="G274" s="11" t="s">
        <v>20</v>
      </c>
      <c r="H274" s="11" t="s">
        <v>50</v>
      </c>
      <c r="I274" s="11" t="s">
        <v>358</v>
      </c>
      <c r="J274" s="12">
        <v>70500</v>
      </c>
      <c r="K274" s="13">
        <f>J274-M274</f>
        <v>7150</v>
      </c>
      <c r="L274" s="7" t="s">
        <v>23</v>
      </c>
      <c r="M274" s="14">
        <f>J274-N274</f>
        <v>63350</v>
      </c>
      <c r="N274" s="15">
        <f>2000+300+600+650+3600</f>
        <v>7150</v>
      </c>
      <c r="O274" s="39">
        <f>M274+N274</f>
        <v>70500</v>
      </c>
      <c r="P274" s="95"/>
      <c r="Q274" s="3" t="s">
        <v>428</v>
      </c>
      <c r="R274" s="36"/>
      <c r="S274" s="36">
        <f>R274+O274</f>
        <v>70500</v>
      </c>
      <c r="T274" s="36">
        <f>S274/0.7</f>
        <v>100714.28571428572</v>
      </c>
      <c r="U274" s="40">
        <f>T274/0.875</f>
        <v>115102.04081632654</v>
      </c>
      <c r="V274" s="41">
        <f>(U274-T274)/U274</f>
        <v>0.12499999999999997</v>
      </c>
      <c r="W274" s="40">
        <f>(ROUNDUP((U274/100),0))*100</f>
        <v>115200</v>
      </c>
      <c r="X274" s="42">
        <f>(T274-O274)/T274</f>
        <v>0.3000000000000001</v>
      </c>
      <c r="Y274" s="45">
        <v>111038</v>
      </c>
      <c r="Z274" s="46">
        <f>T274-Y274</f>
        <v>-10323.714285714275</v>
      </c>
      <c r="AA274" s="47">
        <f>Z274/Y274</f>
        <v>-9.2974605862085724E-2</v>
      </c>
      <c r="AB274" s="60"/>
    </row>
    <row r="275" spans="1:76" ht="14.4" customHeight="1">
      <c r="B275" s="4">
        <v>180</v>
      </c>
      <c r="C275" s="5" t="s">
        <v>204</v>
      </c>
      <c r="D275" s="5" t="str">
        <f>REPLACE(C275,1,3, )</f>
        <v xml:space="preserve"> 849</v>
      </c>
      <c r="E275" s="6" t="s">
        <v>204</v>
      </c>
      <c r="F275" s="7">
        <f>IF(C275=E275,0,1)</f>
        <v>0</v>
      </c>
      <c r="G275" s="11" t="s">
        <v>298</v>
      </c>
      <c r="H275" s="11" t="s">
        <v>50</v>
      </c>
      <c r="I275" s="11" t="s">
        <v>349</v>
      </c>
      <c r="J275" s="12">
        <v>70000</v>
      </c>
      <c r="K275" s="13">
        <f>J275-M275</f>
        <v>7500</v>
      </c>
      <c r="L275" s="7" t="s">
        <v>23</v>
      </c>
      <c r="M275" s="14">
        <f>J275-N275</f>
        <v>62500</v>
      </c>
      <c r="N275" s="15">
        <f>2000+300+600+1000+3600</f>
        <v>7500</v>
      </c>
      <c r="O275" s="39">
        <f>M275+N275</f>
        <v>70000</v>
      </c>
      <c r="P275" s="97"/>
      <c r="Q275" s="3" t="s">
        <v>412</v>
      </c>
      <c r="R275" s="36"/>
      <c r="S275" s="36">
        <f>R275+O275</f>
        <v>70000</v>
      </c>
      <c r="T275" s="36">
        <f>S275/0.7</f>
        <v>100000</v>
      </c>
      <c r="U275" s="40">
        <f>T275/0.875</f>
        <v>114285.71428571429</v>
      </c>
      <c r="V275" s="41">
        <f>(U275-T275)/U275</f>
        <v>0.12500000000000003</v>
      </c>
      <c r="W275" s="40">
        <f>(ROUNDUP((U275/100),0))*100</f>
        <v>114300</v>
      </c>
      <c r="X275" s="42">
        <f>(T275-O275)/T275</f>
        <v>0.3</v>
      </c>
      <c r="Y275" s="43"/>
      <c r="Z275" s="43"/>
      <c r="AA275" s="44"/>
      <c r="AB275" s="60"/>
    </row>
    <row r="276" spans="1:76" ht="14.4" customHeight="1">
      <c r="B276" s="4">
        <v>181</v>
      </c>
      <c r="C276" s="5" t="s">
        <v>56</v>
      </c>
      <c r="D276" s="5" t="str">
        <f>REPLACE(C276,1,3, )</f>
        <v xml:space="preserve"> 605</v>
      </c>
      <c r="E276" s="6" t="s">
        <v>56</v>
      </c>
      <c r="F276" s="7">
        <f>IF(C276=E276,0,1)</f>
        <v>0</v>
      </c>
      <c r="G276" s="11" t="s">
        <v>20</v>
      </c>
      <c r="H276" s="11" t="s">
        <v>50</v>
      </c>
      <c r="I276" s="11" t="s">
        <v>363</v>
      </c>
      <c r="J276" s="12">
        <v>84950</v>
      </c>
      <c r="K276" s="13">
        <f>J276-M276</f>
        <v>5950</v>
      </c>
      <c r="L276" s="7" t="s">
        <v>23</v>
      </c>
      <c r="M276" s="14">
        <f>J276-N276</f>
        <v>79000</v>
      </c>
      <c r="N276" s="15">
        <f>2000+300+800+2850</f>
        <v>5950</v>
      </c>
      <c r="O276" s="39">
        <f>M276+N276</f>
        <v>84950</v>
      </c>
      <c r="P276" s="95"/>
      <c r="Q276" s="3" t="s">
        <v>453</v>
      </c>
      <c r="R276" s="36"/>
      <c r="S276" s="36">
        <f>R276+O276</f>
        <v>84950</v>
      </c>
      <c r="T276" s="36">
        <f>S276/0.7</f>
        <v>121357.14285714287</v>
      </c>
      <c r="U276" s="40">
        <f>T276/0.875</f>
        <v>138693.87755102041</v>
      </c>
      <c r="V276" s="41">
        <f>(U276-T276)/U276</f>
        <v>0.12499999999999994</v>
      </c>
      <c r="W276" s="40">
        <f>(ROUNDUP((U276/100),0))*100</f>
        <v>138700</v>
      </c>
      <c r="X276" s="42">
        <f>(T276-O276)/T276</f>
        <v>0.30000000000000004</v>
      </c>
      <c r="Y276" s="45">
        <v>115150</v>
      </c>
      <c r="Z276" s="46">
        <f>T276-Y276</f>
        <v>6207.1428571428696</v>
      </c>
      <c r="AA276" s="47">
        <f>Z276/Y276</f>
        <v>5.3904844612617193E-2</v>
      </c>
      <c r="AB276" s="60"/>
    </row>
    <row r="277" spans="1:76" ht="14.4" customHeight="1">
      <c r="A277" s="78"/>
      <c r="B277" s="4">
        <v>182</v>
      </c>
      <c r="C277" s="5" t="s">
        <v>991</v>
      </c>
      <c r="D277" s="5" t="str">
        <f>REPLACE(C277,1,3, )</f>
        <v xml:space="preserve"> 982</v>
      </c>
      <c r="E277" s="6" t="s">
        <v>991</v>
      </c>
      <c r="F277" s="7">
        <f>IF(C277=E277,0,1)</f>
        <v>0</v>
      </c>
      <c r="G277" s="11" t="s">
        <v>298</v>
      </c>
      <c r="H277" s="11" t="s">
        <v>50</v>
      </c>
      <c r="I277" s="11" t="s">
        <v>1352</v>
      </c>
      <c r="J277" s="12">
        <v>83000</v>
      </c>
      <c r="K277" s="13">
        <f>J277-M277</f>
        <v>5800</v>
      </c>
      <c r="L277" s="7" t="s">
        <v>23</v>
      </c>
      <c r="M277" s="14">
        <f>J277-N277</f>
        <v>77200</v>
      </c>
      <c r="N277" s="15">
        <f>2000+200+600+3000</f>
        <v>5800</v>
      </c>
      <c r="O277" s="39">
        <f>M277+N277</f>
        <v>83000</v>
      </c>
      <c r="P277" s="95"/>
      <c r="Q277" s="77" t="s">
        <v>1356</v>
      </c>
      <c r="R277" s="36"/>
      <c r="S277" s="36">
        <f>R277+O277</f>
        <v>83000</v>
      </c>
      <c r="T277" s="36">
        <f>S277/0.7</f>
        <v>118571.42857142858</v>
      </c>
      <c r="U277" s="40">
        <f>T277/0.875</f>
        <v>135510.20408163266</v>
      </c>
      <c r="V277" s="41">
        <f>(U277-T277)/U277</f>
        <v>0.125</v>
      </c>
      <c r="W277" s="40">
        <f>(ROUNDUP((U277/100),0))*100</f>
        <v>135600</v>
      </c>
      <c r="X277" s="42">
        <f>(T277-O277)/T277</f>
        <v>0.30000000000000004</v>
      </c>
      <c r="Y277" s="45"/>
      <c r="Z277" s="46"/>
      <c r="AA277" s="47"/>
      <c r="AB277" s="60"/>
    </row>
    <row r="278" spans="1:76" ht="14.4" customHeight="1">
      <c r="B278" s="4">
        <v>183</v>
      </c>
      <c r="C278" s="5" t="s">
        <v>257</v>
      </c>
      <c r="D278" s="5" t="str">
        <f>REPLACE(C278,1,3, )</f>
        <v xml:space="preserve"> 292</v>
      </c>
      <c r="E278" s="6" t="s">
        <v>257</v>
      </c>
      <c r="F278" s="7">
        <f>IF(C278=E278,0,1)</f>
        <v>0</v>
      </c>
      <c r="G278" s="11" t="s">
        <v>298</v>
      </c>
      <c r="H278" s="11" t="s">
        <v>50</v>
      </c>
      <c r="I278" s="11" t="s">
        <v>361</v>
      </c>
      <c r="J278" s="12">
        <v>85000</v>
      </c>
      <c r="K278" s="13">
        <f>J278-M278</f>
        <v>7500</v>
      </c>
      <c r="L278" s="7" t="s">
        <v>23</v>
      </c>
      <c r="M278" s="14">
        <f>J278-N278</f>
        <v>77500</v>
      </c>
      <c r="N278" s="15">
        <f>2000+300+600+1000+3600</f>
        <v>7500</v>
      </c>
      <c r="O278" s="39">
        <f>M278+N278</f>
        <v>85000</v>
      </c>
      <c r="P278" s="95"/>
      <c r="Q278" s="3" t="s">
        <v>447</v>
      </c>
      <c r="R278" s="36"/>
      <c r="S278" s="36">
        <f>R278+O278</f>
        <v>85000</v>
      </c>
      <c r="T278" s="36">
        <f>S278/0.7</f>
        <v>121428.57142857143</v>
      </c>
      <c r="U278" s="40">
        <f>T278/0.875</f>
        <v>138775.51020408163</v>
      </c>
      <c r="V278" s="41">
        <f>(U278-T278)/U278</f>
        <v>0.12499999999999992</v>
      </c>
      <c r="W278" s="40">
        <f>(ROUNDUP((U278/100),0))*100</f>
        <v>138800</v>
      </c>
      <c r="X278" s="42">
        <f>(T278-O278)/T278</f>
        <v>0.30000000000000004</v>
      </c>
      <c r="Y278" s="43"/>
      <c r="Z278" s="43"/>
      <c r="AA278" s="44"/>
      <c r="AB278" s="60"/>
      <c r="AC278" s="157"/>
    </row>
    <row r="279" spans="1:76" ht="14.4" customHeight="1">
      <c r="B279" s="4">
        <v>184</v>
      </c>
      <c r="C279" s="5" t="s">
        <v>994</v>
      </c>
      <c r="D279" s="5" t="str">
        <f>REPLACE(C279,1,3, )</f>
        <v xml:space="preserve"> 778</v>
      </c>
      <c r="E279" s="6" t="s">
        <v>994</v>
      </c>
      <c r="F279" s="7">
        <f>IF(C279=E279,0,1)</f>
        <v>0</v>
      </c>
      <c r="G279" s="11" t="s">
        <v>20</v>
      </c>
      <c r="H279" s="11" t="s">
        <v>50</v>
      </c>
      <c r="I279" s="11" t="s">
        <v>642</v>
      </c>
      <c r="J279" s="90">
        <v>48000</v>
      </c>
      <c r="K279" s="90">
        <f>J279-M279</f>
        <v>0</v>
      </c>
      <c r="L279" s="103" t="s">
        <v>1428</v>
      </c>
      <c r="M279" s="86">
        <f>J279</f>
        <v>48000</v>
      </c>
      <c r="N279" s="87">
        <f>2000+2850+800+300+800</f>
        <v>6750</v>
      </c>
      <c r="O279" s="101">
        <f>M279+N279</f>
        <v>54750</v>
      </c>
      <c r="P279" s="95" t="s">
        <v>1430</v>
      </c>
      <c r="Q279" s="88" t="s">
        <v>1423</v>
      </c>
      <c r="R279" s="36"/>
      <c r="S279" s="36">
        <f>R279+O279</f>
        <v>54750</v>
      </c>
      <c r="T279" s="36">
        <f>S279/0.7</f>
        <v>78214.285714285725</v>
      </c>
      <c r="U279" s="40">
        <f>T279/0.875</f>
        <v>89387.755102040828</v>
      </c>
      <c r="V279" s="41">
        <f>(U279-T279)/U279</f>
        <v>0.125</v>
      </c>
      <c r="W279" s="40">
        <f>(ROUNDUP((U279/100),0))*100</f>
        <v>89400</v>
      </c>
      <c r="X279" s="42">
        <f>(T279-O279)/T279</f>
        <v>0.3000000000000001</v>
      </c>
      <c r="Y279" s="45">
        <v>76825</v>
      </c>
      <c r="Z279" s="46">
        <f>T279-Y279</f>
        <v>1389.2857142857247</v>
      </c>
      <c r="AA279" s="46">
        <f>U279-Z279</f>
        <v>87998.469387755104</v>
      </c>
      <c r="AB279" s="59"/>
    </row>
    <row r="280" spans="1:76" ht="14.4" customHeight="1">
      <c r="B280" s="4">
        <v>185</v>
      </c>
      <c r="C280" s="5" t="s">
        <v>1342</v>
      </c>
      <c r="D280" s="5" t="str">
        <f>REPLACE(C280,1,3, )</f>
        <v xml:space="preserve"> 629</v>
      </c>
      <c r="E280" s="6" t="s">
        <v>1342</v>
      </c>
      <c r="F280" s="7">
        <f>IF(C280=E280,0,1)</f>
        <v>0</v>
      </c>
      <c r="G280" s="11" t="s">
        <v>298</v>
      </c>
      <c r="H280" s="11" t="s">
        <v>50</v>
      </c>
      <c r="I280" s="11" t="s">
        <v>331</v>
      </c>
      <c r="J280" s="12">
        <f>M280</f>
        <v>65000</v>
      </c>
      <c r="K280" s="13">
        <f>J280-M280</f>
        <v>0</v>
      </c>
      <c r="L280" s="17" t="s">
        <v>22</v>
      </c>
      <c r="M280" s="20">
        <v>65000</v>
      </c>
      <c r="N280" s="14">
        <f>2000+300+600+1000+3000</f>
        <v>6900</v>
      </c>
      <c r="O280" s="39">
        <f>M280+N280</f>
        <v>71900</v>
      </c>
      <c r="P280" s="95"/>
      <c r="Q280" s="3" t="s">
        <v>380</v>
      </c>
      <c r="R280" s="36"/>
      <c r="S280" s="36">
        <f>R280+O280</f>
        <v>71900</v>
      </c>
      <c r="T280" s="36">
        <f>S280/0.7</f>
        <v>102714.28571428572</v>
      </c>
      <c r="U280" s="40">
        <f>T280/0.875</f>
        <v>117387.75510204083</v>
      </c>
      <c r="V280" s="41">
        <f>(U280-T280)/U280</f>
        <v>0.125</v>
      </c>
      <c r="W280" s="40">
        <f>(ROUNDUP((U280/100),0))*100</f>
        <v>117400</v>
      </c>
      <c r="X280" s="42">
        <f>(T280-O280)/T280</f>
        <v>0.30000000000000004</v>
      </c>
      <c r="Y280" s="43"/>
      <c r="Z280" s="43"/>
      <c r="AA280" s="43"/>
      <c r="AB280" s="59"/>
    </row>
    <row r="281" spans="1:76" ht="14.4" customHeight="1">
      <c r="B281" s="4">
        <v>186</v>
      </c>
      <c r="C281" s="5" t="s">
        <v>259</v>
      </c>
      <c r="D281" s="5" t="str">
        <f>REPLACE(C281,1,3, )</f>
        <v xml:space="preserve"> 645</v>
      </c>
      <c r="E281" s="6" t="s">
        <v>259</v>
      </c>
      <c r="F281" s="7">
        <f>IF(C281=E281,0,1)</f>
        <v>0</v>
      </c>
      <c r="G281" s="11" t="s">
        <v>298</v>
      </c>
      <c r="H281" s="11" t="s">
        <v>50</v>
      </c>
      <c r="I281" s="11" t="s">
        <v>361</v>
      </c>
      <c r="J281" s="12">
        <v>88000</v>
      </c>
      <c r="K281" s="13">
        <f>J281-M281</f>
        <v>5900</v>
      </c>
      <c r="L281" s="7" t="s">
        <v>23</v>
      </c>
      <c r="M281" s="14">
        <f>J281-N281</f>
        <v>82100</v>
      </c>
      <c r="N281" s="15">
        <f>2000+300+600+3000</f>
        <v>5900</v>
      </c>
      <c r="O281" s="39">
        <f>M281+N281</f>
        <v>88000</v>
      </c>
      <c r="P281" s="95"/>
      <c r="Q281" s="3" t="s">
        <v>449</v>
      </c>
      <c r="R281" s="36"/>
      <c r="S281" s="36">
        <f>R281+O281</f>
        <v>88000</v>
      </c>
      <c r="T281" s="36">
        <f>S281/0.7</f>
        <v>125714.28571428572</v>
      </c>
      <c r="U281" s="40">
        <f>T281/0.875</f>
        <v>143673.46938775512</v>
      </c>
      <c r="V281" s="41">
        <f>(U281-T281)/U281</f>
        <v>0.12500000000000003</v>
      </c>
      <c r="W281" s="40">
        <f>(ROUNDUP((U281/100),0))*100</f>
        <v>143700</v>
      </c>
      <c r="X281" s="42">
        <f>(T281-O281)/T281</f>
        <v>0.30000000000000004</v>
      </c>
      <c r="Y281" s="43"/>
      <c r="Z281" s="43"/>
      <c r="AA281" s="43"/>
      <c r="AB281" s="59"/>
    </row>
    <row r="282" spans="1:76" ht="14.4" customHeight="1">
      <c r="B282" s="4">
        <v>187</v>
      </c>
      <c r="C282" s="5" t="s">
        <v>999</v>
      </c>
      <c r="D282" s="5" t="str">
        <f>REPLACE(C282,1,3, )</f>
        <v xml:space="preserve"> 445</v>
      </c>
      <c r="E282" s="6" t="s">
        <v>999</v>
      </c>
      <c r="F282" s="7">
        <f>IF(C282=E282,0,1)</f>
        <v>0</v>
      </c>
      <c r="G282" s="11" t="s">
        <v>20</v>
      </c>
      <c r="H282" s="11" t="s">
        <v>50</v>
      </c>
      <c r="I282" s="11" t="s">
        <v>642</v>
      </c>
      <c r="J282" s="90">
        <v>48000</v>
      </c>
      <c r="K282" s="90">
        <f>J282-M282</f>
        <v>0</v>
      </c>
      <c r="L282" s="103" t="s">
        <v>1428</v>
      </c>
      <c r="M282" s="86">
        <f>J282</f>
        <v>48000</v>
      </c>
      <c r="N282" s="87">
        <f>2000+2850+800+300</f>
        <v>5950</v>
      </c>
      <c r="O282" s="101">
        <f>M282+N282</f>
        <v>53950</v>
      </c>
      <c r="P282" s="95"/>
      <c r="Q282" s="88" t="s">
        <v>1407</v>
      </c>
      <c r="R282" s="36"/>
      <c r="S282" s="36">
        <f>R282+O282</f>
        <v>53950</v>
      </c>
      <c r="T282" s="36">
        <f>S282/0.7</f>
        <v>77071.42857142858</v>
      </c>
      <c r="U282" s="40">
        <f>T282/0.875</f>
        <v>88081.632653061228</v>
      </c>
      <c r="V282" s="41">
        <f>(U282-T282)/U282</f>
        <v>0.12499999999999994</v>
      </c>
      <c r="W282" s="40">
        <f>(ROUNDUP((U282/100),0))*100</f>
        <v>88100</v>
      </c>
      <c r="X282" s="42">
        <f>(T282-O282)/T282</f>
        <v>0.3000000000000001</v>
      </c>
      <c r="Y282" s="45">
        <v>75688</v>
      </c>
      <c r="Z282" s="46">
        <f>T282-Y282</f>
        <v>1383.4285714285797</v>
      </c>
      <c r="AA282" s="46">
        <f>U282-Z282</f>
        <v>86698.204081632648</v>
      </c>
      <c r="AB282" s="59"/>
    </row>
    <row r="283" spans="1:76" ht="14.4" customHeight="1">
      <c r="B283" s="4">
        <v>188</v>
      </c>
      <c r="C283" s="5" t="s">
        <v>159</v>
      </c>
      <c r="D283" s="5" t="str">
        <f>REPLACE(C283,1,3, )</f>
        <v xml:space="preserve"> 131</v>
      </c>
      <c r="E283" s="6" t="s">
        <v>159</v>
      </c>
      <c r="F283" s="7">
        <f>IF(C283=E283,0,1)</f>
        <v>0</v>
      </c>
      <c r="G283" s="11" t="s">
        <v>298</v>
      </c>
      <c r="H283" s="11" t="s">
        <v>50</v>
      </c>
      <c r="I283" s="11" t="s">
        <v>336</v>
      </c>
      <c r="J283" s="12">
        <v>58400</v>
      </c>
      <c r="K283" s="13">
        <f>J283-M283</f>
        <v>5900</v>
      </c>
      <c r="L283" s="7" t="s">
        <v>23</v>
      </c>
      <c r="M283" s="14">
        <f>J283-N283</f>
        <v>52500</v>
      </c>
      <c r="N283" s="14">
        <f>2000+300+600+3000</f>
        <v>5900</v>
      </c>
      <c r="O283" s="39">
        <f>M283+N283</f>
        <v>58400</v>
      </c>
      <c r="P283" s="95"/>
      <c r="Q283" s="3" t="s">
        <v>381</v>
      </c>
      <c r="R283" s="36"/>
      <c r="S283" s="36">
        <f>R283+O283</f>
        <v>58400</v>
      </c>
      <c r="T283" s="36">
        <f>S283/0.7</f>
        <v>83428.571428571435</v>
      </c>
      <c r="U283" s="40">
        <f>T283/0.875</f>
        <v>95346.938775510207</v>
      </c>
      <c r="V283" s="41">
        <f>(U283-T283)/U283</f>
        <v>0.12499999999999996</v>
      </c>
      <c r="W283" s="40">
        <f>(ROUNDUP((U283/100),0))*100</f>
        <v>95400</v>
      </c>
      <c r="X283" s="42">
        <f>(T283-O283)/T283</f>
        <v>0.30000000000000004</v>
      </c>
      <c r="Y283" s="43"/>
      <c r="Z283" s="43"/>
      <c r="AA283" s="44"/>
      <c r="AB283" s="60"/>
    </row>
    <row r="284" spans="1:76" ht="14.4" customHeight="1">
      <c r="B284" s="4">
        <v>189</v>
      </c>
      <c r="C284" s="5" t="s">
        <v>166</v>
      </c>
      <c r="D284" s="5" t="str">
        <f>REPLACE(C284,1,3, )</f>
        <v xml:space="preserve"> 598</v>
      </c>
      <c r="E284" s="6" t="s">
        <v>166</v>
      </c>
      <c r="F284" s="7">
        <f>IF(C284=E284,0,1)</f>
        <v>0</v>
      </c>
      <c r="G284" s="11" t="s">
        <v>298</v>
      </c>
      <c r="H284" s="11" t="s">
        <v>50</v>
      </c>
      <c r="I284" s="11" t="s">
        <v>338</v>
      </c>
      <c r="J284" s="12">
        <v>74000</v>
      </c>
      <c r="K284" s="13">
        <f>J284-M284</f>
        <v>6550</v>
      </c>
      <c r="L284" s="7" t="s">
        <v>23</v>
      </c>
      <c r="M284" s="14">
        <f>J284-N284</f>
        <v>67450</v>
      </c>
      <c r="N284" s="14">
        <f>2000+300+600+650+3000</f>
        <v>6550</v>
      </c>
      <c r="O284" s="39">
        <f>M284+N284</f>
        <v>74000</v>
      </c>
      <c r="P284" s="95"/>
      <c r="Q284" s="3" t="s">
        <v>393</v>
      </c>
      <c r="R284" s="36"/>
      <c r="S284" s="36">
        <f>R284+O284</f>
        <v>74000</v>
      </c>
      <c r="T284" s="36">
        <f>S284/0.7</f>
        <v>105714.28571428572</v>
      </c>
      <c r="U284" s="40">
        <f>T284/0.875</f>
        <v>120816.32653061226</v>
      </c>
      <c r="V284" s="41">
        <f>(U284-T284)/U284</f>
        <v>0.12500000000000006</v>
      </c>
      <c r="W284" s="40">
        <f>(ROUNDUP((U284/100),0))*100</f>
        <v>120900</v>
      </c>
      <c r="X284" s="42">
        <f>(T284-O284)/T284</f>
        <v>0.30000000000000004</v>
      </c>
      <c r="Y284" s="43"/>
      <c r="Z284" s="43"/>
      <c r="AA284" s="43"/>
      <c r="AB284" s="59"/>
    </row>
    <row r="285" spans="1:76" ht="14.4" customHeight="1">
      <c r="B285" s="4">
        <v>190</v>
      </c>
      <c r="C285" s="5" t="s">
        <v>164</v>
      </c>
      <c r="D285" s="5" t="str">
        <f>REPLACE(C285,1,3, )</f>
        <v xml:space="preserve"> 122</v>
      </c>
      <c r="E285" s="6" t="s">
        <v>164</v>
      </c>
      <c r="F285" s="7">
        <f>IF(C285=E285,0,1)</f>
        <v>0</v>
      </c>
      <c r="G285" s="11" t="s">
        <v>298</v>
      </c>
      <c r="H285" s="11" t="s">
        <v>50</v>
      </c>
      <c r="I285" s="11" t="s">
        <v>337</v>
      </c>
      <c r="J285" s="12">
        <v>60000</v>
      </c>
      <c r="K285" s="13">
        <f>J285-M285</f>
        <v>5900</v>
      </c>
      <c r="L285" s="7" t="s">
        <v>23</v>
      </c>
      <c r="M285" s="14">
        <f>J285-N285</f>
        <v>54100</v>
      </c>
      <c r="N285" s="14">
        <f>2000+300+600+3000</f>
        <v>5900</v>
      </c>
      <c r="O285" s="39">
        <f>M285+N285</f>
        <v>60000</v>
      </c>
      <c r="P285" s="96"/>
      <c r="Q285" s="3" t="s">
        <v>381</v>
      </c>
      <c r="R285" s="36"/>
      <c r="S285" s="36">
        <f>R285+O285</f>
        <v>60000</v>
      </c>
      <c r="T285" s="36">
        <f>S285/0.7</f>
        <v>85714.285714285725</v>
      </c>
      <c r="U285" s="40">
        <f>T285/0.875</f>
        <v>97959.183673469393</v>
      </c>
      <c r="V285" s="41">
        <f>(U285-T285)/U285</f>
        <v>0.12499999999999994</v>
      </c>
      <c r="W285" s="40">
        <f>(ROUNDUP((U285/100),0))*100</f>
        <v>98000</v>
      </c>
      <c r="X285" s="42">
        <f>(T285-O285)/T285</f>
        <v>0.3000000000000001</v>
      </c>
      <c r="Y285" s="43"/>
      <c r="Z285" s="43"/>
      <c r="AA285" s="44"/>
      <c r="AB285" s="60"/>
    </row>
    <row r="286" spans="1:76" ht="14.4" customHeight="1">
      <c r="B286" s="4">
        <v>265</v>
      </c>
      <c r="C286" s="5" t="s">
        <v>161</v>
      </c>
      <c r="D286" s="5" t="str">
        <f>REPLACE(C286,1,3, )</f>
        <v xml:space="preserve"> 418</v>
      </c>
      <c r="E286" s="6" t="s">
        <v>161</v>
      </c>
      <c r="F286" s="7">
        <f>IF(C286=E286,0,1)</f>
        <v>0</v>
      </c>
      <c r="G286" s="11" t="s">
        <v>298</v>
      </c>
      <c r="H286" s="11" t="s">
        <v>50</v>
      </c>
      <c r="I286" s="11" t="s">
        <v>337</v>
      </c>
      <c r="J286" s="12">
        <v>37000</v>
      </c>
      <c r="K286" s="13">
        <f>J286-M286</f>
        <v>4900</v>
      </c>
      <c r="L286" s="7" t="s">
        <v>23</v>
      </c>
      <c r="M286" s="14">
        <f>J286-N286</f>
        <v>32100</v>
      </c>
      <c r="N286" s="14">
        <f>2000+300+600+2000</f>
        <v>4900</v>
      </c>
      <c r="O286" s="39">
        <f>M286+N286</f>
        <v>37000</v>
      </c>
      <c r="P286" s="96"/>
      <c r="Q286" s="3" t="s">
        <v>389</v>
      </c>
      <c r="R286" s="36"/>
      <c r="S286" s="36">
        <f>R286+O286</f>
        <v>37000</v>
      </c>
      <c r="T286" s="36">
        <f>S286/0.7</f>
        <v>52857.142857142862</v>
      </c>
      <c r="U286" s="40">
        <f>T286/0.875</f>
        <v>60408.163265306132</v>
      </c>
      <c r="V286" s="41">
        <f>(U286-T286)/U286</f>
        <v>0.12500000000000006</v>
      </c>
      <c r="W286" s="40">
        <f>(ROUNDUP((U286/100),0))*100</f>
        <v>60500</v>
      </c>
      <c r="X286" s="42">
        <f>(T286-O286)/T286</f>
        <v>0.30000000000000004</v>
      </c>
      <c r="Y286" s="43"/>
      <c r="Z286" s="43"/>
      <c r="AA286" s="43"/>
      <c r="AB286" s="159" t="s">
        <v>1570</v>
      </c>
      <c r="AC286" s="165">
        <v>112060.43956043955</v>
      </c>
      <c r="AD286" s="146">
        <v>113610.38961038958</v>
      </c>
      <c r="AE286" s="147">
        <v>106751</v>
      </c>
      <c r="AF286" s="148">
        <v>-1.3642678766135369E-2</v>
      </c>
      <c r="AG286" s="149">
        <v>97900</v>
      </c>
      <c r="AH286" s="150">
        <v>92934</v>
      </c>
      <c r="AI286" s="146">
        <v>88677.14285714287</v>
      </c>
      <c r="AJ286" s="146">
        <v>83073</v>
      </c>
      <c r="AK286" s="151"/>
      <c r="AL286" s="150">
        <v>96371</v>
      </c>
      <c r="AM286" s="146">
        <v>100790</v>
      </c>
      <c r="AN286" s="146">
        <v>93146</v>
      </c>
      <c r="AO286" s="151">
        <v>114358</v>
      </c>
      <c r="AP286" s="156">
        <v>123340</v>
      </c>
      <c r="AQ286" s="146">
        <v>107314.28571428572</v>
      </c>
      <c r="AR286" s="146">
        <v>109329</v>
      </c>
      <c r="AS286" s="151">
        <v>118363</v>
      </c>
      <c r="AT286" s="150">
        <v>104712</v>
      </c>
      <c r="AU286" s="146">
        <v>103571.42857142858</v>
      </c>
      <c r="AV286" s="146">
        <v>101507</v>
      </c>
      <c r="AW286" s="158"/>
      <c r="AX286" s="151"/>
      <c r="AY286" s="151"/>
      <c r="AZ286" s="151">
        <v>118583</v>
      </c>
      <c r="BA286" s="156">
        <v>108894</v>
      </c>
      <c r="BB286" s="146">
        <v>118481</v>
      </c>
      <c r="BC286" s="146">
        <v>110764</v>
      </c>
      <c r="BD286" s="151"/>
      <c r="BE286" s="158"/>
      <c r="BF286" s="150">
        <v>92991.42857142858</v>
      </c>
      <c r="BG286" s="163">
        <v>99537</v>
      </c>
      <c r="BH286" s="151">
        <v>129123</v>
      </c>
      <c r="BI286" s="156">
        <v>128980</v>
      </c>
      <c r="BJ286" s="146">
        <v>123528.57142857143</v>
      </c>
      <c r="BK286" s="146">
        <v>158467</v>
      </c>
      <c r="BL286" s="151"/>
      <c r="BM286" s="158"/>
      <c r="BN286" s="146">
        <v>109430</v>
      </c>
      <c r="BO286" s="146">
        <v>101417</v>
      </c>
      <c r="BP286" s="151"/>
      <c r="BQ286" s="149"/>
      <c r="BR286" s="151"/>
      <c r="BS286" s="151"/>
      <c r="BT286" s="151"/>
      <c r="BU286" s="149"/>
      <c r="BV286" s="146">
        <v>121404.28571428572</v>
      </c>
      <c r="BW286" s="146">
        <v>114180</v>
      </c>
      <c r="BX286" s="153"/>
    </row>
    <row r="287" spans="1:76" ht="14.4" customHeight="1">
      <c r="B287" s="4">
        <v>191</v>
      </c>
      <c r="C287" s="5" t="s">
        <v>258</v>
      </c>
      <c r="D287" s="5" t="str">
        <f>REPLACE(C287,1,3, )</f>
        <v xml:space="preserve"> 592</v>
      </c>
      <c r="E287" s="6" t="s">
        <v>258</v>
      </c>
      <c r="F287" s="7">
        <f>IF(C287=E287,0,1)</f>
        <v>0</v>
      </c>
      <c r="G287" s="11" t="s">
        <v>298</v>
      </c>
      <c r="H287" s="11" t="s">
        <v>1522</v>
      </c>
      <c r="I287" s="11" t="s">
        <v>361</v>
      </c>
      <c r="J287" s="12">
        <v>77000</v>
      </c>
      <c r="K287" s="13">
        <f>J287-M287</f>
        <v>6900</v>
      </c>
      <c r="L287" s="7" t="s">
        <v>23</v>
      </c>
      <c r="M287" s="14">
        <f>J287-N287</f>
        <v>70100</v>
      </c>
      <c r="N287" s="15">
        <f>2000+300+600+1000+3000</f>
        <v>6900</v>
      </c>
      <c r="O287" s="39">
        <f>M287+N287</f>
        <v>77000</v>
      </c>
      <c r="P287" s="95"/>
      <c r="Q287" s="3" t="s">
        <v>448</v>
      </c>
      <c r="R287" s="36"/>
      <c r="S287" s="36">
        <f>R287+O287</f>
        <v>77000</v>
      </c>
      <c r="T287" s="36">
        <f>S287/0.7</f>
        <v>110000</v>
      </c>
      <c r="U287" s="40">
        <f>T287/0.875</f>
        <v>125714.28571428571</v>
      </c>
      <c r="V287" s="41">
        <f>(U287-T287)/U287</f>
        <v>0.12499999999999997</v>
      </c>
      <c r="W287" s="40">
        <f>(ROUNDUP((U287/100),0))*100</f>
        <v>125800</v>
      </c>
      <c r="X287" s="42">
        <f>(T287-O287)/T287</f>
        <v>0.3</v>
      </c>
      <c r="Y287" s="43"/>
      <c r="Z287" s="43"/>
      <c r="AA287" s="44"/>
      <c r="AB287" s="60"/>
    </row>
    <row r="288" spans="1:76" ht="14.4" customHeight="1">
      <c r="B288" s="4">
        <v>192</v>
      </c>
      <c r="C288" s="5" t="s">
        <v>162</v>
      </c>
      <c r="D288" s="5" t="str">
        <f>REPLACE(C288,1,3, )</f>
        <v xml:space="preserve"> 585</v>
      </c>
      <c r="E288" s="6" t="s">
        <v>162</v>
      </c>
      <c r="F288" s="7">
        <f>IF(C288=E288,0,1)</f>
        <v>0</v>
      </c>
      <c r="G288" s="11" t="s">
        <v>298</v>
      </c>
      <c r="H288" s="11" t="s">
        <v>1522</v>
      </c>
      <c r="I288" s="11" t="s">
        <v>337</v>
      </c>
      <c r="J288" s="12">
        <v>60000</v>
      </c>
      <c r="K288" s="13">
        <f>J288-M288</f>
        <v>5900</v>
      </c>
      <c r="L288" s="7" t="s">
        <v>23</v>
      </c>
      <c r="M288" s="14">
        <f>J288-N288</f>
        <v>54100</v>
      </c>
      <c r="N288" s="14">
        <f>2000+300+600+3000</f>
        <v>5900</v>
      </c>
      <c r="O288" s="39">
        <f>M288+N288</f>
        <v>60000</v>
      </c>
      <c r="P288" s="96"/>
      <c r="Q288" s="3" t="s">
        <v>381</v>
      </c>
      <c r="R288" s="36"/>
      <c r="S288" s="36">
        <f>R288+O288</f>
        <v>60000</v>
      </c>
      <c r="T288" s="36">
        <f>S288/0.7</f>
        <v>85714.285714285725</v>
      </c>
      <c r="U288" s="40">
        <f>T288/0.875</f>
        <v>97959.183673469393</v>
      </c>
      <c r="V288" s="41">
        <f>(U288-T288)/U288</f>
        <v>0.12499999999999994</v>
      </c>
      <c r="W288" s="40">
        <f>(ROUNDUP((U288/100),0))*100</f>
        <v>98000</v>
      </c>
      <c r="X288" s="42">
        <f>(T288-O288)/T288</f>
        <v>0.3000000000000001</v>
      </c>
      <c r="Y288" s="43"/>
      <c r="Z288" s="43"/>
      <c r="AA288" s="44"/>
      <c r="AB288" s="60"/>
    </row>
    <row r="289" spans="2:75" ht="14.4" customHeight="1">
      <c r="B289" s="4">
        <v>193</v>
      </c>
      <c r="C289" s="5" t="s">
        <v>163</v>
      </c>
      <c r="D289" s="5" t="str">
        <f>REPLACE(C289,1,3, )</f>
        <v xml:space="preserve"> 354</v>
      </c>
      <c r="E289" s="6" t="s">
        <v>163</v>
      </c>
      <c r="F289" s="7">
        <f>IF(C289=E289,0,1)</f>
        <v>0</v>
      </c>
      <c r="G289" s="11" t="s">
        <v>298</v>
      </c>
      <c r="H289" s="11" t="s">
        <v>1522</v>
      </c>
      <c r="I289" s="11" t="s">
        <v>337</v>
      </c>
      <c r="J289" s="12">
        <v>69000</v>
      </c>
      <c r="K289" s="13">
        <f>J289-M289</f>
        <v>6900</v>
      </c>
      <c r="L289" s="7" t="s">
        <v>23</v>
      </c>
      <c r="M289" s="14">
        <f>J289-N289</f>
        <v>62100</v>
      </c>
      <c r="N289" s="14">
        <f>2000+300+600+1000+3000</f>
        <v>6900</v>
      </c>
      <c r="O289" s="39">
        <f>M289+N289</f>
        <v>69000</v>
      </c>
      <c r="P289" s="94"/>
      <c r="Q289" s="3" t="s">
        <v>392</v>
      </c>
      <c r="R289" s="36"/>
      <c r="S289" s="36">
        <f>R289+O289</f>
        <v>69000</v>
      </c>
      <c r="T289" s="36">
        <f>S289/0.7</f>
        <v>98571.42857142858</v>
      </c>
      <c r="U289" s="40">
        <f>T289/0.875</f>
        <v>112653.06122448981</v>
      </c>
      <c r="V289" s="41">
        <f>(U289-T289)/U289</f>
        <v>0.12500000000000003</v>
      </c>
      <c r="W289" s="40">
        <f>(ROUNDUP((U289/100),0))*100</f>
        <v>112700</v>
      </c>
      <c r="X289" s="42">
        <f>(T289-O289)/T289</f>
        <v>0.30000000000000004</v>
      </c>
      <c r="Y289" s="43"/>
      <c r="Z289" s="43"/>
      <c r="AA289" s="43"/>
      <c r="AB289" s="59"/>
    </row>
    <row r="290" spans="2:75" ht="14.4" customHeight="1">
      <c r="B290" s="4">
        <v>194</v>
      </c>
      <c r="C290" s="5" t="s">
        <v>1007</v>
      </c>
      <c r="D290" s="5" t="str">
        <f>REPLACE(C290,1,3, )</f>
        <v xml:space="preserve"> 158</v>
      </c>
      <c r="E290" s="6" t="s">
        <v>1007</v>
      </c>
      <c r="F290" s="7">
        <f>IF(C290=E290,0,1)</f>
        <v>0</v>
      </c>
      <c r="G290" s="11" t="s">
        <v>20</v>
      </c>
      <c r="H290" s="11" t="s">
        <v>1522</v>
      </c>
      <c r="I290" s="11" t="s">
        <v>601</v>
      </c>
      <c r="J290" s="12"/>
      <c r="K290" s="13">
        <f>J290-M290</f>
        <v>0</v>
      </c>
      <c r="L290" s="7"/>
      <c r="M290" s="14">
        <f>J290-N290</f>
        <v>0</v>
      </c>
      <c r="N290" s="14"/>
      <c r="O290" s="39">
        <f>M290+N290</f>
        <v>0</v>
      </c>
      <c r="P290" s="94"/>
      <c r="Q290" s="3"/>
      <c r="R290" s="36"/>
      <c r="S290" s="36">
        <f>R290+O290</f>
        <v>0</v>
      </c>
      <c r="T290" s="36">
        <f>S290/0.7</f>
        <v>0</v>
      </c>
      <c r="U290" s="40">
        <f>T290/0.875</f>
        <v>0</v>
      </c>
      <c r="V290" s="41" t="e">
        <f>(U290-T290)/U290</f>
        <v>#DIV/0!</v>
      </c>
      <c r="W290" s="40">
        <f>(ROUNDUP((U290/100),0))*100</f>
        <v>0</v>
      </c>
      <c r="X290" s="42" t="e">
        <f>(T290-O290)/T290</f>
        <v>#DIV/0!</v>
      </c>
      <c r="Y290" s="45">
        <v>91438</v>
      </c>
      <c r="Z290" s="46">
        <f>T290-Y290</f>
        <v>-91438</v>
      </c>
      <c r="AA290" s="46">
        <f>U290-Z290</f>
        <v>91438</v>
      </c>
      <c r="AB290" s="59"/>
    </row>
    <row r="291" spans="2:75" ht="14.4" customHeight="1">
      <c r="B291" s="4">
        <v>195</v>
      </c>
      <c r="C291" s="5" t="s">
        <v>99</v>
      </c>
      <c r="D291" s="5" t="str">
        <f>REPLACE(C291,1,3, )</f>
        <v xml:space="preserve"> 449</v>
      </c>
      <c r="E291" s="6" t="s">
        <v>99</v>
      </c>
      <c r="F291" s="7">
        <f>IF(C291=E291,0,1)</f>
        <v>0</v>
      </c>
      <c r="G291" s="11" t="s">
        <v>20</v>
      </c>
      <c r="H291" s="11" t="s">
        <v>1522</v>
      </c>
      <c r="I291" s="11" t="s">
        <v>358</v>
      </c>
      <c r="J291" s="12">
        <v>72000</v>
      </c>
      <c r="K291" s="13">
        <f>J291-M291</f>
        <v>6900</v>
      </c>
      <c r="L291" s="7" t="s">
        <v>23</v>
      </c>
      <c r="M291" s="14">
        <f>J291-N291</f>
        <v>65100</v>
      </c>
      <c r="N291" s="15">
        <f>2000+300+600+1000+3000</f>
        <v>6900</v>
      </c>
      <c r="O291" s="39">
        <f>M291+N291</f>
        <v>72000</v>
      </c>
      <c r="P291" s="95"/>
      <c r="Q291" s="3" t="s">
        <v>430</v>
      </c>
      <c r="R291" s="36"/>
      <c r="S291" s="36">
        <f>R291+O291</f>
        <v>72000</v>
      </c>
      <c r="T291" s="36">
        <f>S291/0.7</f>
        <v>102857.14285714287</v>
      </c>
      <c r="U291" s="40">
        <f>T291/0.875</f>
        <v>117551.02040816328</v>
      </c>
      <c r="V291" s="41">
        <f>(U291-T291)/U291</f>
        <v>0.12500000000000003</v>
      </c>
      <c r="W291" s="40">
        <f>(ROUNDUP((U291/100),0))*100</f>
        <v>117600</v>
      </c>
      <c r="X291" s="42">
        <f>(T291-O291)/T291</f>
        <v>0.3000000000000001</v>
      </c>
      <c r="Y291" s="45">
        <v>98613</v>
      </c>
      <c r="Z291" s="46">
        <f>T291-Y291</f>
        <v>4244.1428571428696</v>
      </c>
      <c r="AA291" s="47">
        <f>Z291/Y291</f>
        <v>4.3038370774064978E-2</v>
      </c>
      <c r="AB291" s="60"/>
    </row>
    <row r="292" spans="2:75" ht="14.4" customHeight="1">
      <c r="B292" s="4">
        <v>196</v>
      </c>
      <c r="C292" s="6" t="s">
        <v>1010</v>
      </c>
      <c r="D292" s="5" t="str">
        <f>REPLACE(C292,1,3, )</f>
        <v xml:space="preserve"> 496</v>
      </c>
      <c r="E292" s="6" t="s">
        <v>1010</v>
      </c>
      <c r="F292" s="7">
        <f>IF(C292=E292,0,1)</f>
        <v>0</v>
      </c>
      <c r="G292" s="8" t="s">
        <v>20</v>
      </c>
      <c r="H292" s="11" t="s">
        <v>1522</v>
      </c>
      <c r="I292" s="8" t="s">
        <v>642</v>
      </c>
      <c r="J292" s="90">
        <v>53000</v>
      </c>
      <c r="K292" s="90">
        <f>J292-M292</f>
        <v>0</v>
      </c>
      <c r="L292" s="105" t="s">
        <v>1428</v>
      </c>
      <c r="M292" s="86">
        <f>J292</f>
        <v>53000</v>
      </c>
      <c r="N292" s="87">
        <f>2000+2850+800+300</f>
        <v>5950</v>
      </c>
      <c r="O292" s="101">
        <f>M292+N292</f>
        <v>58950</v>
      </c>
      <c r="P292" s="95"/>
      <c r="Q292" s="88" t="s">
        <v>1407</v>
      </c>
      <c r="R292" s="36"/>
      <c r="S292" s="36">
        <f>R292+O292</f>
        <v>58950</v>
      </c>
      <c r="T292" s="36">
        <f>S292/0.7</f>
        <v>84214.285714285725</v>
      </c>
      <c r="U292" s="40">
        <f>T292/0.875</f>
        <v>96244.897959183683</v>
      </c>
      <c r="V292" s="41">
        <f>(U292-T292)/U292</f>
        <v>0.12499999999999999</v>
      </c>
      <c r="W292" s="40">
        <f>(ROUNDUP((U292/100),0))*100</f>
        <v>96300</v>
      </c>
      <c r="X292" s="42">
        <f>(T292-O292)/T292</f>
        <v>0.3000000000000001</v>
      </c>
      <c r="Y292" s="45">
        <v>82863</v>
      </c>
      <c r="Z292" s="46">
        <f>T292-Y292</f>
        <v>1351.2857142857247</v>
      </c>
      <c r="AA292" s="47">
        <f>Z292/Y292</f>
        <v>1.6307467920371271E-2</v>
      </c>
      <c r="AB292" s="60"/>
    </row>
    <row r="293" spans="2:75" ht="14.4" customHeight="1">
      <c r="B293" s="4">
        <v>197</v>
      </c>
      <c r="C293" s="5" t="s">
        <v>263</v>
      </c>
      <c r="D293" s="5" t="str">
        <f>REPLACE(C293,1,3, )</f>
        <v xml:space="preserve"> 739</v>
      </c>
      <c r="E293" s="6" t="s">
        <v>263</v>
      </c>
      <c r="F293" s="7">
        <f>IF(C293=E293,0,1)</f>
        <v>0</v>
      </c>
      <c r="G293" s="11" t="s">
        <v>298</v>
      </c>
      <c r="H293" s="11" t="s">
        <v>1522</v>
      </c>
      <c r="I293" s="11" t="s">
        <v>363</v>
      </c>
      <c r="J293" s="12">
        <v>81000</v>
      </c>
      <c r="K293" s="13">
        <f>J293-M293</f>
        <v>6900</v>
      </c>
      <c r="L293" s="7" t="s">
        <v>23</v>
      </c>
      <c r="M293" s="14">
        <f>J293-N293</f>
        <v>74100</v>
      </c>
      <c r="N293" s="15">
        <f>2000+300+600+1000+3000</f>
        <v>6900</v>
      </c>
      <c r="O293" s="39">
        <f>M293+N293</f>
        <v>81000</v>
      </c>
      <c r="P293" s="95"/>
      <c r="Q293" s="3" t="s">
        <v>448</v>
      </c>
      <c r="R293" s="36"/>
      <c r="S293" s="36">
        <f>R293+O293</f>
        <v>81000</v>
      </c>
      <c r="T293" s="36">
        <f>S293/0.7</f>
        <v>115714.28571428572</v>
      </c>
      <c r="U293" s="40">
        <f>T293/0.875</f>
        <v>132244.8979591837</v>
      </c>
      <c r="V293" s="41">
        <f>(U293-T293)/U293</f>
        <v>0.12500000000000008</v>
      </c>
      <c r="W293" s="40">
        <f>(ROUNDUP((U293/100),0))*100</f>
        <v>132300</v>
      </c>
      <c r="X293" s="42">
        <f>(T293-O293)/T293</f>
        <v>0.30000000000000004</v>
      </c>
      <c r="Y293" s="43"/>
      <c r="Z293" s="43"/>
      <c r="AA293" s="43"/>
      <c r="AB293" s="59"/>
    </row>
    <row r="294" spans="2:75" ht="14.4" customHeight="1">
      <c r="B294" s="4">
        <v>198</v>
      </c>
      <c r="C294" s="6" t="s">
        <v>1013</v>
      </c>
      <c r="D294" s="5" t="str">
        <f>REPLACE(C294,1,3, )</f>
        <v xml:space="preserve"> 632</v>
      </c>
      <c r="E294" s="6" t="s">
        <v>1013</v>
      </c>
      <c r="F294" s="7">
        <f>IF(C294=E294,0,1)</f>
        <v>0</v>
      </c>
      <c r="G294" s="8" t="s">
        <v>298</v>
      </c>
      <c r="H294" s="11" t="s">
        <v>1522</v>
      </c>
      <c r="I294" s="8" t="s">
        <v>643</v>
      </c>
      <c r="J294" s="12"/>
      <c r="K294" s="13">
        <f>J294-M294</f>
        <v>0</v>
      </c>
      <c r="L294" s="7"/>
      <c r="M294" s="14">
        <f>J294-N294</f>
        <v>0</v>
      </c>
      <c r="N294" s="15"/>
      <c r="O294" s="39">
        <f>M294+N294</f>
        <v>0</v>
      </c>
      <c r="P294" s="95"/>
      <c r="Q294" s="3"/>
      <c r="R294" s="36"/>
      <c r="S294" s="36">
        <f>R294+O294</f>
        <v>0</v>
      </c>
      <c r="T294" s="36">
        <f>S294/0.7</f>
        <v>0</v>
      </c>
      <c r="U294" s="40">
        <f>T294/0.875</f>
        <v>0</v>
      </c>
      <c r="V294" s="41" t="e">
        <f>(U294-T294)/U294</f>
        <v>#DIV/0!</v>
      </c>
      <c r="W294" s="40">
        <f>(ROUNDUP((U294/100),0))*100</f>
        <v>0</v>
      </c>
      <c r="X294" s="42" t="e">
        <f>(T294-O294)/T294</f>
        <v>#DIV/0!</v>
      </c>
      <c r="Y294" s="43"/>
      <c r="Z294" s="43"/>
      <c r="AA294" s="43"/>
      <c r="AB294" s="59"/>
    </row>
    <row r="295" spans="2:75" ht="14.4" customHeight="1">
      <c r="B295" s="4">
        <v>199</v>
      </c>
      <c r="C295" s="5" t="s">
        <v>239</v>
      </c>
      <c r="D295" s="5" t="str">
        <f>REPLACE(C295,1,3, )</f>
        <v xml:space="preserve"> 672</v>
      </c>
      <c r="E295" s="6" t="s">
        <v>239</v>
      </c>
      <c r="F295" s="7">
        <f>IF(C295=E295,0,1)</f>
        <v>0</v>
      </c>
      <c r="G295" s="11" t="s">
        <v>298</v>
      </c>
      <c r="H295" s="11" t="s">
        <v>1522</v>
      </c>
      <c r="I295" s="11" t="s">
        <v>358</v>
      </c>
      <c r="J295" s="12">
        <v>59500</v>
      </c>
      <c r="K295" s="13">
        <f>J295-M295</f>
        <v>6900</v>
      </c>
      <c r="L295" s="7" t="s">
        <v>23</v>
      </c>
      <c r="M295" s="14">
        <f>J295-N295</f>
        <v>52600</v>
      </c>
      <c r="N295" s="15">
        <f>2000+300+600+1000+3000</f>
        <v>6900</v>
      </c>
      <c r="O295" s="39">
        <f>M295+N295</f>
        <v>59500</v>
      </c>
      <c r="P295" s="95"/>
      <c r="Q295" s="3" t="s">
        <v>430</v>
      </c>
      <c r="R295" s="36"/>
      <c r="S295" s="36">
        <f>R295+O295</f>
        <v>59500</v>
      </c>
      <c r="T295" s="36">
        <f>S295/0.7</f>
        <v>85000</v>
      </c>
      <c r="U295" s="40">
        <f>T295/0.875</f>
        <v>97142.857142857145</v>
      </c>
      <c r="V295" s="41">
        <f>(U295-T295)/U295</f>
        <v>0.12500000000000003</v>
      </c>
      <c r="W295" s="40">
        <f>(ROUNDUP((U295/100),0))*100</f>
        <v>97200</v>
      </c>
      <c r="X295" s="42">
        <f>(T295-O295)/T295</f>
        <v>0.3</v>
      </c>
      <c r="Y295" s="43"/>
      <c r="Z295" s="43"/>
      <c r="AA295" s="44"/>
      <c r="AB295" s="60"/>
    </row>
    <row r="296" spans="2:75" ht="14.4" customHeight="1">
      <c r="B296" s="4">
        <v>200</v>
      </c>
      <c r="C296" s="5" t="s">
        <v>153</v>
      </c>
      <c r="D296" s="5" t="str">
        <f>REPLACE(C296,1,3, )</f>
        <v xml:space="preserve"> 575</v>
      </c>
      <c r="E296" s="6" t="s">
        <v>153</v>
      </c>
      <c r="F296" s="7">
        <f>IF(C296=E296,0,1)</f>
        <v>0</v>
      </c>
      <c r="G296" s="11" t="s">
        <v>298</v>
      </c>
      <c r="H296" s="11" t="s">
        <v>1522</v>
      </c>
      <c r="I296" s="11" t="s">
        <v>336</v>
      </c>
      <c r="J296" s="12">
        <v>50900</v>
      </c>
      <c r="K296" s="13">
        <f>J296-M296</f>
        <v>5900</v>
      </c>
      <c r="L296" s="7" t="s">
        <v>23</v>
      </c>
      <c r="M296" s="14">
        <f>J296-N296</f>
        <v>45000</v>
      </c>
      <c r="N296" s="14">
        <f>2000+300+600+1000+2000</f>
        <v>5900</v>
      </c>
      <c r="O296" s="39">
        <f>M296+N296</f>
        <v>50900</v>
      </c>
      <c r="P296" s="95"/>
      <c r="Q296" s="3" t="s">
        <v>387</v>
      </c>
      <c r="R296" s="36"/>
      <c r="S296" s="36">
        <f>R296+O296</f>
        <v>50900</v>
      </c>
      <c r="T296" s="36">
        <f>S296/0.7</f>
        <v>72714.285714285725</v>
      </c>
      <c r="U296" s="40">
        <f>T296/0.875</f>
        <v>83102.040816326538</v>
      </c>
      <c r="V296" s="41">
        <f>(U296-T296)/U296</f>
        <v>0.12499999999999996</v>
      </c>
      <c r="W296" s="40">
        <f>(ROUNDUP((U296/100),0))*100</f>
        <v>83200</v>
      </c>
      <c r="X296" s="42">
        <f>(T296-O296)/T296</f>
        <v>0.3000000000000001</v>
      </c>
      <c r="Y296" s="43"/>
      <c r="Z296" s="43"/>
      <c r="AA296" s="44"/>
      <c r="AB296" s="60"/>
    </row>
    <row r="297" spans="2:75" ht="14.4" customHeight="1">
      <c r="B297" s="4">
        <v>201</v>
      </c>
      <c r="C297" s="6" t="s">
        <v>1018</v>
      </c>
      <c r="D297" s="5" t="str">
        <f>REPLACE(C297,1,3, )</f>
        <v xml:space="preserve"> 466</v>
      </c>
      <c r="E297" s="6" t="s">
        <v>1018</v>
      </c>
      <c r="F297" s="7">
        <f>IF(C297=E297,0,1)</f>
        <v>0</v>
      </c>
      <c r="G297" s="8" t="s">
        <v>20</v>
      </c>
      <c r="H297" s="11" t="s">
        <v>1522</v>
      </c>
      <c r="I297" s="8" t="s">
        <v>644</v>
      </c>
      <c r="J297" s="85">
        <v>56000</v>
      </c>
      <c r="K297" s="13">
        <f>J297-M297</f>
        <v>5950</v>
      </c>
      <c r="L297" s="103" t="s">
        <v>1429</v>
      </c>
      <c r="M297" s="14">
        <f>J297-N297</f>
        <v>50050</v>
      </c>
      <c r="N297" s="14">
        <v>5950</v>
      </c>
      <c r="O297" s="39">
        <f>M297+N297</f>
        <v>56000</v>
      </c>
      <c r="P297" s="95"/>
      <c r="Q297" s="77" t="s">
        <v>1400</v>
      </c>
      <c r="R297" s="36"/>
      <c r="S297" s="36">
        <f>R297+O297</f>
        <v>56000</v>
      </c>
      <c r="T297" s="36">
        <f>S297/0.7</f>
        <v>80000</v>
      </c>
      <c r="U297" s="40">
        <f>T297/0.875</f>
        <v>91428.571428571435</v>
      </c>
      <c r="V297" s="41">
        <f>(U297-T297)/U297</f>
        <v>0.12500000000000006</v>
      </c>
      <c r="W297" s="40">
        <f>(ROUNDUP((U297/100),0))*100</f>
        <v>91500</v>
      </c>
      <c r="X297" s="42">
        <f>(T297-O297)/T297</f>
        <v>0.3</v>
      </c>
      <c r="Y297" s="45">
        <v>75775</v>
      </c>
      <c r="Z297" s="46">
        <f>T297-Y297</f>
        <v>4225</v>
      </c>
      <c r="AA297" s="47">
        <f>Z297/Y297</f>
        <v>5.5757175849554599E-2</v>
      </c>
      <c r="AB297" s="60"/>
      <c r="AC297" s="141"/>
      <c r="AD297" s="142"/>
      <c r="AE297" s="142"/>
      <c r="AF297" s="143"/>
      <c r="AG297" s="141"/>
      <c r="AH297" s="142"/>
      <c r="AI297" s="142"/>
      <c r="AJ297" s="142"/>
      <c r="AK297" s="142"/>
      <c r="AL297" s="141"/>
      <c r="AM297" s="142"/>
      <c r="AN297" s="142"/>
      <c r="AO297" s="142"/>
      <c r="AP297" s="141"/>
      <c r="AQ297" s="142"/>
      <c r="AR297" s="142"/>
      <c r="AS297" s="142"/>
      <c r="AT297" s="141"/>
      <c r="AU297" s="142"/>
      <c r="AV297" s="142"/>
      <c r="AW297" s="141"/>
      <c r="AX297" s="142"/>
      <c r="AY297" s="142"/>
      <c r="AZ297" s="142"/>
      <c r="BA297" s="141"/>
      <c r="BB297" s="142"/>
      <c r="BC297" s="142"/>
      <c r="BD297" s="142"/>
      <c r="BE297" s="141"/>
      <c r="BF297" s="142"/>
      <c r="BG297" s="142"/>
      <c r="BH297" s="142"/>
      <c r="BI297" s="141"/>
      <c r="BJ297" s="142"/>
      <c r="BK297" s="142"/>
      <c r="BL297" s="142"/>
      <c r="BM297" s="141"/>
      <c r="BN297" s="142"/>
      <c r="BO297" s="142"/>
      <c r="BP297" s="142"/>
      <c r="BQ297" s="141"/>
      <c r="BR297" s="142"/>
      <c r="BS297" s="142"/>
      <c r="BT297" s="142"/>
      <c r="BU297" s="141"/>
      <c r="BV297" s="142">
        <v>64430.000000000007</v>
      </c>
      <c r="BW297" s="142">
        <v>67417</v>
      </c>
    </row>
    <row r="298" spans="2:75" ht="14.4" customHeight="1">
      <c r="B298" s="4">
        <v>202</v>
      </c>
      <c r="C298" s="6" t="s">
        <v>1021</v>
      </c>
      <c r="D298" s="5" t="str">
        <f>REPLACE(C298,1,3, )</f>
        <v xml:space="preserve"> 604</v>
      </c>
      <c r="E298" s="6" t="s">
        <v>1021</v>
      </c>
      <c r="F298" s="7">
        <f>IF(C298=E298,0,1)</f>
        <v>0</v>
      </c>
      <c r="G298" s="8" t="s">
        <v>20</v>
      </c>
      <c r="H298" s="11" t="s">
        <v>1522</v>
      </c>
      <c r="I298" s="8" t="s">
        <v>645</v>
      </c>
      <c r="J298" s="12">
        <f>M298</f>
        <v>32000</v>
      </c>
      <c r="K298" s="13">
        <f>J298-M298</f>
        <v>0</v>
      </c>
      <c r="L298" s="104" t="s">
        <v>1428</v>
      </c>
      <c r="M298" s="18">
        <v>32000</v>
      </c>
      <c r="N298" s="15">
        <f>5350</f>
        <v>5350</v>
      </c>
      <c r="O298" s="39">
        <f>M298+N298</f>
        <v>37350</v>
      </c>
      <c r="P298" s="95" t="s">
        <v>1398</v>
      </c>
      <c r="Q298" s="77" t="s">
        <v>1399</v>
      </c>
      <c r="R298" s="36"/>
      <c r="S298" s="36">
        <f>R298+O298</f>
        <v>37350</v>
      </c>
      <c r="T298" s="36">
        <f>S298/0.7</f>
        <v>53357.142857142862</v>
      </c>
      <c r="U298" s="40">
        <f>T298/0.875</f>
        <v>60979.591836734697</v>
      </c>
      <c r="V298" s="41">
        <f>(U298-T298)/U298</f>
        <v>0.12499999999999996</v>
      </c>
      <c r="W298" s="40">
        <f>(ROUNDUP((U298/100),0))*100</f>
        <v>61000</v>
      </c>
      <c r="X298" s="42">
        <f>(T298-O298)/T298</f>
        <v>0.30000000000000004</v>
      </c>
      <c r="Y298" s="45">
        <v>56263</v>
      </c>
      <c r="Z298" s="46">
        <f>T298-Y298</f>
        <v>-2905.8571428571377</v>
      </c>
      <c r="AA298" s="47">
        <f>Z298/Y298</f>
        <v>-5.1647746171678326E-2</v>
      </c>
      <c r="AB298" s="60"/>
    </row>
    <row r="299" spans="2:75" ht="14.4" customHeight="1">
      <c r="B299" s="4">
        <v>203</v>
      </c>
      <c r="C299" s="5" t="s">
        <v>192</v>
      </c>
      <c r="D299" s="5" t="str">
        <f>REPLACE(C299,1,3, )</f>
        <v xml:space="preserve"> 681</v>
      </c>
      <c r="E299" s="6" t="s">
        <v>192</v>
      </c>
      <c r="F299" s="7">
        <f>IF(C299=E299,0,1)</f>
        <v>0</v>
      </c>
      <c r="G299" s="11" t="s">
        <v>298</v>
      </c>
      <c r="H299" s="11" t="s">
        <v>1522</v>
      </c>
      <c r="I299" s="11" t="s">
        <v>346</v>
      </c>
      <c r="J299" s="12">
        <v>44000</v>
      </c>
      <c r="K299" s="13">
        <f>J299-M299</f>
        <v>6400</v>
      </c>
      <c r="L299" s="7" t="s">
        <v>23</v>
      </c>
      <c r="M299" s="14">
        <f>J299-N299</f>
        <v>37600</v>
      </c>
      <c r="N299" s="15">
        <v>6400</v>
      </c>
      <c r="O299" s="39">
        <f>M299+N299</f>
        <v>44000</v>
      </c>
      <c r="P299" s="95"/>
      <c r="Q299" s="3" t="s">
        <v>406</v>
      </c>
      <c r="R299" s="36"/>
      <c r="S299" s="36">
        <f>R299+O299</f>
        <v>44000</v>
      </c>
      <c r="T299" s="36">
        <f>S299/0.7</f>
        <v>62857.142857142862</v>
      </c>
      <c r="U299" s="40">
        <f>T299/0.875</f>
        <v>71836.734693877559</v>
      </c>
      <c r="V299" s="41">
        <f>(U299-T299)/U299</f>
        <v>0.12500000000000003</v>
      </c>
      <c r="W299" s="40">
        <f>(ROUNDUP((U299/100),0))*100</f>
        <v>71900</v>
      </c>
      <c r="X299" s="42">
        <f>(T299-O299)/T299</f>
        <v>0.30000000000000004</v>
      </c>
      <c r="Y299" s="43"/>
      <c r="Z299" s="43"/>
      <c r="AA299" s="43"/>
      <c r="AB299" s="59"/>
    </row>
    <row r="300" spans="2:75" ht="14.4" customHeight="1">
      <c r="B300" s="4">
        <v>204</v>
      </c>
      <c r="C300" s="6" t="s">
        <v>1025</v>
      </c>
      <c r="D300" s="5" t="str">
        <f>REPLACE(C300,1,3, )</f>
        <v xml:space="preserve"> 635</v>
      </c>
      <c r="E300" s="6" t="s">
        <v>1025</v>
      </c>
      <c r="F300" s="7">
        <f>IF(C300=E300,0,1)</f>
        <v>0</v>
      </c>
      <c r="G300" s="8" t="s">
        <v>298</v>
      </c>
      <c r="H300" s="11" t="s">
        <v>1522</v>
      </c>
      <c r="I300" s="8" t="s">
        <v>639</v>
      </c>
      <c r="J300" s="12"/>
      <c r="K300" s="13">
        <f>J300-M300</f>
        <v>0</v>
      </c>
      <c r="L300" s="7"/>
      <c r="M300" s="14">
        <f>J300-N300</f>
        <v>0</v>
      </c>
      <c r="N300" s="15"/>
      <c r="O300" s="39">
        <f>M300+N300</f>
        <v>0</v>
      </c>
      <c r="P300" s="95"/>
      <c r="Q300" s="3"/>
      <c r="R300" s="36"/>
      <c r="S300" s="36">
        <f>R300+O300</f>
        <v>0</v>
      </c>
      <c r="T300" s="36">
        <f>S300/0.7</f>
        <v>0</v>
      </c>
      <c r="U300" s="40">
        <f>T300/0.875</f>
        <v>0</v>
      </c>
      <c r="V300" s="41" t="e">
        <f>(U300-T300)/U300</f>
        <v>#DIV/0!</v>
      </c>
      <c r="W300" s="40">
        <f>(ROUNDUP((U300/100),0))*100</f>
        <v>0</v>
      </c>
      <c r="X300" s="42" t="e">
        <f>(T300-O300)/T300</f>
        <v>#DIV/0!</v>
      </c>
      <c r="Y300" s="43"/>
      <c r="Z300" s="43"/>
      <c r="AA300" s="43"/>
      <c r="AB300" s="59"/>
    </row>
    <row r="301" spans="2:75" ht="14.4" customHeight="1">
      <c r="B301" s="4">
        <v>205</v>
      </c>
      <c r="C301" s="6" t="s">
        <v>1343</v>
      </c>
      <c r="D301" s="5" t="str">
        <f>REPLACE(C301,1,3, )</f>
        <v xml:space="preserve"> 231</v>
      </c>
      <c r="E301" s="6" t="s">
        <v>1343</v>
      </c>
      <c r="F301" s="7">
        <f>IF(C301=E301,0,1)</f>
        <v>0</v>
      </c>
      <c r="G301" s="8" t="s">
        <v>298</v>
      </c>
      <c r="H301" s="11" t="s">
        <v>1522</v>
      </c>
      <c r="I301" s="8" t="s">
        <v>646</v>
      </c>
      <c r="J301" s="12">
        <f>M301</f>
        <v>50000</v>
      </c>
      <c r="K301" s="13">
        <f>J301-M301</f>
        <v>0</v>
      </c>
      <c r="L301" s="17" t="s">
        <v>22</v>
      </c>
      <c r="M301" s="18">
        <v>50000</v>
      </c>
      <c r="N301" s="15">
        <f>2000+200+350+300+800+600</f>
        <v>4250</v>
      </c>
      <c r="O301" s="39">
        <f>M301+N301</f>
        <v>54250</v>
      </c>
      <c r="P301" s="95"/>
      <c r="Q301" s="77" t="s">
        <v>1363</v>
      </c>
      <c r="R301" s="36"/>
      <c r="S301" s="36">
        <f>R301+O301</f>
        <v>54250</v>
      </c>
      <c r="T301" s="36">
        <f>S301/0.7</f>
        <v>77500</v>
      </c>
      <c r="U301" s="40">
        <f>T301/0.875</f>
        <v>88571.428571428565</v>
      </c>
      <c r="V301" s="41">
        <f>(U301-T301)/U301</f>
        <v>0.12499999999999994</v>
      </c>
      <c r="W301" s="40">
        <f>(ROUNDUP((U301/100),0))*100</f>
        <v>88600</v>
      </c>
      <c r="X301" s="42">
        <f>(T301-O301)/T301</f>
        <v>0.3</v>
      </c>
      <c r="Y301" s="43"/>
      <c r="Z301" s="43"/>
      <c r="AA301" s="43"/>
      <c r="AB301" s="59"/>
    </row>
    <row r="302" spans="2:75" ht="14.4" customHeight="1">
      <c r="B302" s="4">
        <v>206</v>
      </c>
      <c r="C302" s="5" t="s">
        <v>194</v>
      </c>
      <c r="D302" s="5" t="str">
        <f>REPLACE(C302,1,3, )</f>
        <v xml:space="preserve"> 528</v>
      </c>
      <c r="E302" s="6" t="s">
        <v>194</v>
      </c>
      <c r="F302" s="7">
        <f>IF(C302=E302,0,1)</f>
        <v>0</v>
      </c>
      <c r="G302" s="11" t="s">
        <v>298</v>
      </c>
      <c r="H302" s="11" t="s">
        <v>1522</v>
      </c>
      <c r="I302" s="11" t="s">
        <v>346</v>
      </c>
      <c r="J302" s="12">
        <v>50000</v>
      </c>
      <c r="K302" s="13">
        <f>J302-M302</f>
        <v>5900</v>
      </c>
      <c r="L302" s="7" t="s">
        <v>23</v>
      </c>
      <c r="M302" s="14">
        <f>J302-N302</f>
        <v>44100</v>
      </c>
      <c r="N302" s="15">
        <f>2000+300+600+3000</f>
        <v>5900</v>
      </c>
      <c r="O302" s="39">
        <f>M302+N302</f>
        <v>50000</v>
      </c>
      <c r="P302" s="95"/>
      <c r="Q302" s="3" t="s">
        <v>408</v>
      </c>
      <c r="R302" s="36"/>
      <c r="S302" s="36">
        <f>R302+O302</f>
        <v>50000</v>
      </c>
      <c r="T302" s="36">
        <f>S302/0.7</f>
        <v>71428.571428571435</v>
      </c>
      <c r="U302" s="40">
        <f>T302/0.875</f>
        <v>81632.653061224497</v>
      </c>
      <c r="V302" s="41">
        <f>(U302-T302)/U302</f>
        <v>0.125</v>
      </c>
      <c r="W302" s="40">
        <f>(ROUNDUP((U302/100),0))*100</f>
        <v>81700</v>
      </c>
      <c r="X302" s="42">
        <f>(T302-O302)/T302</f>
        <v>0.30000000000000004</v>
      </c>
      <c r="Y302" s="43"/>
      <c r="Z302" s="43"/>
      <c r="AA302" s="43"/>
      <c r="AB302" s="59"/>
    </row>
    <row r="303" spans="2:75" ht="14.4" customHeight="1">
      <c r="B303" s="4">
        <v>207</v>
      </c>
      <c r="C303" s="5" t="s">
        <v>139</v>
      </c>
      <c r="D303" s="5" t="str">
        <f>REPLACE(C303,1,3, )</f>
        <v xml:space="preserve"> 913</v>
      </c>
      <c r="E303" s="6" t="s">
        <v>139</v>
      </c>
      <c r="F303" s="7">
        <f>IF(C303=E303,0,1)</f>
        <v>0</v>
      </c>
      <c r="G303" s="11" t="s">
        <v>298</v>
      </c>
      <c r="H303" s="11" t="s">
        <v>1522</v>
      </c>
      <c r="I303" s="11" t="s">
        <v>332</v>
      </c>
      <c r="J303" s="12">
        <v>75000</v>
      </c>
      <c r="K303" s="13">
        <f>J303-M303</f>
        <v>6900</v>
      </c>
      <c r="L303" s="7" t="s">
        <v>23</v>
      </c>
      <c r="M303" s="14">
        <f>J303-N303</f>
        <v>68100</v>
      </c>
      <c r="N303" s="14">
        <f>2000+300+600+1000+3000</f>
        <v>6900</v>
      </c>
      <c r="O303" s="39">
        <f>M303+N303</f>
        <v>75000</v>
      </c>
      <c r="P303" s="96"/>
      <c r="Q303" s="3" t="s">
        <v>384</v>
      </c>
      <c r="R303" s="36"/>
      <c r="S303" s="36">
        <f>R303+O303</f>
        <v>75000</v>
      </c>
      <c r="T303" s="36">
        <f>S303/0.7</f>
        <v>107142.85714285714</v>
      </c>
      <c r="U303" s="40">
        <f>T303/0.875</f>
        <v>122448.97959183673</v>
      </c>
      <c r="V303" s="41">
        <f>(U303-T303)/U303</f>
        <v>0.12499999999999996</v>
      </c>
      <c r="W303" s="40">
        <f>(ROUNDUP((U303/100),0))*100</f>
        <v>122500</v>
      </c>
      <c r="X303" s="42">
        <f>(T303-O303)/T303</f>
        <v>0.3</v>
      </c>
      <c r="Y303" s="43"/>
      <c r="Z303" s="43"/>
      <c r="AA303" s="44"/>
      <c r="AB303" s="60"/>
    </row>
    <row r="304" spans="2:75" ht="14.4" customHeight="1">
      <c r="B304" s="4">
        <v>208</v>
      </c>
      <c r="C304" s="5" t="s">
        <v>137</v>
      </c>
      <c r="D304" s="5" t="str">
        <f>REPLACE(C304,1,3, )</f>
        <v xml:space="preserve"> 590</v>
      </c>
      <c r="E304" s="6" t="s">
        <v>137</v>
      </c>
      <c r="F304" s="7">
        <f>IF(C304=E304,0,1)</f>
        <v>0</v>
      </c>
      <c r="G304" s="11" t="s">
        <v>298</v>
      </c>
      <c r="H304" s="11" t="s">
        <v>1522</v>
      </c>
      <c r="I304" s="11" t="s">
        <v>331</v>
      </c>
      <c r="J304" s="12">
        <f>M304</f>
        <v>66000</v>
      </c>
      <c r="K304" s="13">
        <f>J304-M304</f>
        <v>0</v>
      </c>
      <c r="L304" s="17" t="s">
        <v>22</v>
      </c>
      <c r="M304" s="20">
        <v>66000</v>
      </c>
      <c r="N304" s="14">
        <f>2000+300+600+3000</f>
        <v>5900</v>
      </c>
      <c r="O304" s="39">
        <f>M304+N304</f>
        <v>71900</v>
      </c>
      <c r="P304" s="95"/>
      <c r="Q304" s="3" t="s">
        <v>381</v>
      </c>
      <c r="R304" s="36"/>
      <c r="S304" s="36">
        <f>R304+O304</f>
        <v>71900</v>
      </c>
      <c r="T304" s="36">
        <f>S304/0.7</f>
        <v>102714.28571428572</v>
      </c>
      <c r="U304" s="40">
        <f>T304/0.875</f>
        <v>117387.75510204083</v>
      </c>
      <c r="V304" s="41">
        <f>(U304-T304)/U304</f>
        <v>0.125</v>
      </c>
      <c r="W304" s="40">
        <f>(ROUNDUP((U304/100),0))*100</f>
        <v>117400</v>
      </c>
      <c r="X304" s="42">
        <f>(T304-O304)/T304</f>
        <v>0.30000000000000004</v>
      </c>
      <c r="Y304" s="43"/>
      <c r="Z304" s="43"/>
      <c r="AA304" s="44"/>
      <c r="AB304" s="60"/>
    </row>
    <row r="305" spans="2:76" ht="14.4" customHeight="1">
      <c r="B305" s="4">
        <v>209</v>
      </c>
      <c r="C305" s="6" t="s">
        <v>1032</v>
      </c>
      <c r="D305" s="5" t="str">
        <f>REPLACE(C305,1,3, )</f>
        <v xml:space="preserve"> 429</v>
      </c>
      <c r="E305" s="6" t="s">
        <v>1032</v>
      </c>
      <c r="F305" s="7">
        <f>IF(C305=E305,0,1)</f>
        <v>0</v>
      </c>
      <c r="G305" s="8" t="s">
        <v>20</v>
      </c>
      <c r="H305" s="11" t="s">
        <v>1522</v>
      </c>
      <c r="I305" s="8" t="s">
        <v>647</v>
      </c>
      <c r="J305" s="90">
        <v>75000</v>
      </c>
      <c r="K305" s="90">
        <f>J305-M305</f>
        <v>6950</v>
      </c>
      <c r="L305" s="103" t="s">
        <v>1429</v>
      </c>
      <c r="M305" s="87">
        <f>J305-N305</f>
        <v>68050</v>
      </c>
      <c r="N305" s="87">
        <f>2000+2850+800+300+1000</f>
        <v>6950</v>
      </c>
      <c r="O305" s="101">
        <f>M305+N305</f>
        <v>75000</v>
      </c>
      <c r="P305" s="95"/>
      <c r="Q305" s="88" t="s">
        <v>1421</v>
      </c>
      <c r="R305" s="36"/>
      <c r="S305" s="36">
        <f>R305+O305</f>
        <v>75000</v>
      </c>
      <c r="T305" s="36">
        <f>S305/0.7</f>
        <v>107142.85714285714</v>
      </c>
      <c r="U305" s="40">
        <f>T305/0.875</f>
        <v>122448.97959183673</v>
      </c>
      <c r="V305" s="41">
        <f>(U305-T305)/U305</f>
        <v>0.12499999999999996</v>
      </c>
      <c r="W305" s="40">
        <f>(ROUNDUP((U305/100),0))*100</f>
        <v>122500</v>
      </c>
      <c r="X305" s="42">
        <f>(T305-O305)/T305</f>
        <v>0.3</v>
      </c>
      <c r="Y305" s="45">
        <v>105788</v>
      </c>
      <c r="Z305" s="46">
        <f>T305-Y305</f>
        <v>1354.8571428571449</v>
      </c>
      <c r="AA305" s="47">
        <f>Z305/Y305</f>
        <v>1.280728573049065E-2</v>
      </c>
      <c r="AB305" s="60"/>
    </row>
    <row r="306" spans="2:76" ht="14.4" customHeight="1">
      <c r="B306" s="4">
        <v>210</v>
      </c>
      <c r="C306" s="5" t="s">
        <v>140</v>
      </c>
      <c r="D306" s="5" t="str">
        <f>REPLACE(C306,1,3, )</f>
        <v xml:space="preserve"> 949</v>
      </c>
      <c r="E306" s="6" t="s">
        <v>140</v>
      </c>
      <c r="F306" s="7">
        <f>IF(C306=E306,0,1)</f>
        <v>0</v>
      </c>
      <c r="G306" s="11" t="s">
        <v>298</v>
      </c>
      <c r="H306" s="11" t="s">
        <v>1522</v>
      </c>
      <c r="I306" s="11" t="s">
        <v>332</v>
      </c>
      <c r="J306" s="12">
        <v>82000</v>
      </c>
      <c r="K306" s="13">
        <f>J306-M306</f>
        <v>5900</v>
      </c>
      <c r="L306" s="7" t="s">
        <v>23</v>
      </c>
      <c r="M306" s="14">
        <f>J306-N306</f>
        <v>76100</v>
      </c>
      <c r="N306" s="14">
        <f>2000+300+600+3000</f>
        <v>5900</v>
      </c>
      <c r="O306" s="39">
        <f>M306+N306</f>
        <v>82000</v>
      </c>
      <c r="P306" s="96"/>
      <c r="Q306" s="3" t="s">
        <v>385</v>
      </c>
      <c r="R306" s="36"/>
      <c r="S306" s="36">
        <f>R306+O306</f>
        <v>82000</v>
      </c>
      <c r="T306" s="36">
        <f>S306/0.7</f>
        <v>117142.85714285714</v>
      </c>
      <c r="U306" s="40">
        <f>T306/0.875</f>
        <v>133877.55102040817</v>
      </c>
      <c r="V306" s="41">
        <f>(U306-T306)/U306</f>
        <v>0.125</v>
      </c>
      <c r="W306" s="40">
        <f>(ROUNDUP((U306/100),0))*100</f>
        <v>133900</v>
      </c>
      <c r="X306" s="42">
        <f>(T306-O306)/T306</f>
        <v>0.3</v>
      </c>
      <c r="Y306" s="43"/>
      <c r="Z306" s="43"/>
      <c r="AA306" s="43"/>
      <c r="AB306" s="59"/>
    </row>
    <row r="307" spans="2:76" ht="14.4" customHeight="1">
      <c r="B307" s="4">
        <v>211</v>
      </c>
      <c r="C307" s="5" t="s">
        <v>98</v>
      </c>
      <c r="D307" s="5" t="str">
        <f>REPLACE(C307,1,3, )</f>
        <v xml:space="preserve"> 546</v>
      </c>
      <c r="E307" s="6" t="s">
        <v>98</v>
      </c>
      <c r="F307" s="7">
        <f>IF(C307=E307,0,1)</f>
        <v>0</v>
      </c>
      <c r="G307" s="11" t="s">
        <v>20</v>
      </c>
      <c r="H307" s="11" t="s">
        <v>1522</v>
      </c>
      <c r="I307" s="11" t="s">
        <v>358</v>
      </c>
      <c r="J307" s="12">
        <v>0</v>
      </c>
      <c r="K307" s="13">
        <f>J307-M307</f>
        <v>0</v>
      </c>
      <c r="L307" s="7" t="s">
        <v>469</v>
      </c>
      <c r="M307" s="14">
        <f>J307-N307</f>
        <v>0</v>
      </c>
      <c r="N307" s="15">
        <v>0</v>
      </c>
      <c r="O307" s="39">
        <f>M307+N307</f>
        <v>0</v>
      </c>
      <c r="P307" s="95"/>
      <c r="Q307" s="3" t="s">
        <v>412</v>
      </c>
      <c r="R307" s="36"/>
      <c r="S307" s="36">
        <f>R307+O307</f>
        <v>0</v>
      </c>
      <c r="T307" s="36">
        <f>S307/0.7</f>
        <v>0</v>
      </c>
      <c r="U307" s="40">
        <f>T307/0.875</f>
        <v>0</v>
      </c>
      <c r="V307" s="41" t="e">
        <f>(U307-T307)/U307</f>
        <v>#DIV/0!</v>
      </c>
      <c r="W307" s="40">
        <f>(ROUNDUP((U307/100),0))*100</f>
        <v>0</v>
      </c>
      <c r="X307" s="42" t="e">
        <f>(T307-O307)/T307</f>
        <v>#DIV/0!</v>
      </c>
      <c r="Y307" s="45">
        <v>113575</v>
      </c>
      <c r="Z307" s="46">
        <f>T307-Y307</f>
        <v>-113575</v>
      </c>
      <c r="AA307" s="47">
        <f>Z307/Y307</f>
        <v>-1</v>
      </c>
      <c r="AB307" s="60"/>
    </row>
    <row r="308" spans="2:76" ht="14.4" customHeight="1">
      <c r="B308" s="4">
        <v>212</v>
      </c>
      <c r="C308" s="5" t="s">
        <v>256</v>
      </c>
      <c r="D308" s="5" t="str">
        <f>REPLACE(C308,1,3, )</f>
        <v xml:space="preserve"> 930</v>
      </c>
      <c r="E308" s="6" t="s">
        <v>256</v>
      </c>
      <c r="F308" s="7">
        <f>IF(C308=E308,0,1)</f>
        <v>0</v>
      </c>
      <c r="G308" s="11" t="s">
        <v>298</v>
      </c>
      <c r="H308" s="11" t="s">
        <v>1522</v>
      </c>
      <c r="I308" s="11" t="s">
        <v>360</v>
      </c>
      <c r="J308" s="12">
        <f>M308</f>
        <v>65000</v>
      </c>
      <c r="K308" s="13">
        <f>J308-M308</f>
        <v>0</v>
      </c>
      <c r="L308" s="17" t="s">
        <v>22</v>
      </c>
      <c r="M308" s="18">
        <v>65000</v>
      </c>
      <c r="N308" s="15">
        <f>2000+300+600+650+3000</f>
        <v>6550</v>
      </c>
      <c r="O308" s="39">
        <f>M308+N308</f>
        <v>71550</v>
      </c>
      <c r="P308" s="95"/>
      <c r="Q308" s="3" t="s">
        <v>446</v>
      </c>
      <c r="R308" s="36"/>
      <c r="S308" s="36">
        <f>R308+O308</f>
        <v>71550</v>
      </c>
      <c r="T308" s="36">
        <f>S308/0.7</f>
        <v>102214.28571428572</v>
      </c>
      <c r="U308" s="40">
        <f>T308/0.875</f>
        <v>116816.32653061226</v>
      </c>
      <c r="V308" s="41">
        <f>(U308-T308)/U308</f>
        <v>0.12500000000000006</v>
      </c>
      <c r="W308" s="40">
        <f>(ROUNDUP((U308/100),0))*100</f>
        <v>116900</v>
      </c>
      <c r="X308" s="42">
        <f>(T308-O308)/T308</f>
        <v>0.30000000000000004</v>
      </c>
      <c r="Y308" s="43"/>
      <c r="Z308" s="43"/>
      <c r="AA308" s="43"/>
      <c r="AB308" s="59"/>
    </row>
    <row r="309" spans="2:76" ht="14.4" customHeight="1">
      <c r="B309" s="4">
        <v>213</v>
      </c>
      <c r="C309" s="5" t="s">
        <v>138</v>
      </c>
      <c r="D309" s="5" t="str">
        <f>REPLACE(C309,1,3, )</f>
        <v xml:space="preserve"> 207</v>
      </c>
      <c r="E309" s="6" t="s">
        <v>138</v>
      </c>
      <c r="F309" s="7">
        <f>IF(C309=E309,0,1)</f>
        <v>0</v>
      </c>
      <c r="G309" s="11" t="s">
        <v>298</v>
      </c>
      <c r="H309" s="11" t="s">
        <v>1522</v>
      </c>
      <c r="I309" s="11" t="s">
        <v>332</v>
      </c>
      <c r="J309" s="12">
        <v>80000</v>
      </c>
      <c r="K309" s="13">
        <f>J309-M309</f>
        <v>6900</v>
      </c>
      <c r="L309" s="7" t="s">
        <v>23</v>
      </c>
      <c r="M309" s="14">
        <f>J309-N309</f>
        <v>73100</v>
      </c>
      <c r="N309" s="14">
        <f>2000+300+600+1000+3000</f>
        <v>6900</v>
      </c>
      <c r="O309" s="39">
        <f>M309+N309</f>
        <v>80000</v>
      </c>
      <c r="P309" s="95"/>
      <c r="Q309" s="3" t="s">
        <v>384</v>
      </c>
      <c r="R309" s="36"/>
      <c r="S309" s="36">
        <f>R309+O309</f>
        <v>80000</v>
      </c>
      <c r="T309" s="36">
        <f>S309/0.7</f>
        <v>114285.71428571429</v>
      </c>
      <c r="U309" s="40">
        <f>T309/0.875</f>
        <v>130612.24489795919</v>
      </c>
      <c r="V309" s="41">
        <f>(U309-T309)/U309</f>
        <v>0.12499999999999999</v>
      </c>
      <c r="W309" s="40">
        <f>(ROUNDUP((U309/100),0))*100</f>
        <v>130700</v>
      </c>
      <c r="X309" s="42">
        <f>(T309-O309)/T309</f>
        <v>0.30000000000000004</v>
      </c>
      <c r="Y309" s="43"/>
      <c r="Z309" s="43"/>
      <c r="AA309" s="43"/>
      <c r="AB309" s="59"/>
    </row>
    <row r="310" spans="2:76" ht="14.4" customHeight="1">
      <c r="B310" s="4">
        <v>214</v>
      </c>
      <c r="C310" s="5" t="s">
        <v>141</v>
      </c>
      <c r="D310" s="5" t="str">
        <f>REPLACE(C310,1,3, )</f>
        <v xml:space="preserve"> 403</v>
      </c>
      <c r="E310" s="6" t="s">
        <v>141</v>
      </c>
      <c r="F310" s="7">
        <f>IF(C310=E310,0,1)</f>
        <v>0</v>
      </c>
      <c r="G310" s="11" t="s">
        <v>298</v>
      </c>
      <c r="H310" s="11" t="s">
        <v>1522</v>
      </c>
      <c r="I310" s="11" t="s">
        <v>332</v>
      </c>
      <c r="J310" s="12">
        <v>82000</v>
      </c>
      <c r="K310" s="13">
        <f>J310-M310</f>
        <v>6550</v>
      </c>
      <c r="L310" s="7" t="s">
        <v>23</v>
      </c>
      <c r="M310" s="14">
        <f>J310-N310</f>
        <v>75450</v>
      </c>
      <c r="N310" s="14">
        <f>2000+300+600+650+3000</f>
        <v>6550</v>
      </c>
      <c r="O310" s="39">
        <f>M310+N310</f>
        <v>82000</v>
      </c>
      <c r="P310" s="96"/>
      <c r="Q310" s="3" t="s">
        <v>386</v>
      </c>
      <c r="R310" s="36"/>
      <c r="S310" s="36">
        <f>R310+O310</f>
        <v>82000</v>
      </c>
      <c r="T310" s="36">
        <f>S310/0.7</f>
        <v>117142.85714285714</v>
      </c>
      <c r="U310" s="40">
        <f>T310/0.875</f>
        <v>133877.55102040817</v>
      </c>
      <c r="V310" s="41">
        <f>(U310-T310)/U310</f>
        <v>0.125</v>
      </c>
      <c r="W310" s="40">
        <f>(ROUNDUP((U310/100),0))*100</f>
        <v>133900</v>
      </c>
      <c r="X310" s="42">
        <f>(T310-O310)/T310</f>
        <v>0.3</v>
      </c>
      <c r="Y310" s="43"/>
      <c r="Z310" s="43"/>
      <c r="AA310" s="43"/>
      <c r="AB310" s="59"/>
    </row>
    <row r="311" spans="2:76" ht="14.4" customHeight="1">
      <c r="B311" s="4">
        <v>215</v>
      </c>
      <c r="C311" s="5" t="s">
        <v>57</v>
      </c>
      <c r="D311" s="5" t="str">
        <f>REPLACE(C311,1,3, )</f>
        <v xml:space="preserve"> 348</v>
      </c>
      <c r="E311" s="6" t="s">
        <v>57</v>
      </c>
      <c r="F311" s="7">
        <f>IF(C311=E311,0,1)</f>
        <v>0</v>
      </c>
      <c r="G311" s="11" t="s">
        <v>20</v>
      </c>
      <c r="H311" s="11" t="s">
        <v>1522</v>
      </c>
      <c r="I311" s="11" t="s">
        <v>363</v>
      </c>
      <c r="J311" s="12">
        <v>56450</v>
      </c>
      <c r="K311" s="13">
        <f>J311-M311</f>
        <v>6950</v>
      </c>
      <c r="L311" s="7" t="s">
        <v>23</v>
      </c>
      <c r="M311" s="14">
        <f>J311-N311</f>
        <v>49500</v>
      </c>
      <c r="N311" s="15">
        <f>2000+300+800+1000+2850</f>
        <v>6950</v>
      </c>
      <c r="O311" s="39">
        <f>M311+N311</f>
        <v>56450</v>
      </c>
      <c r="P311" s="95"/>
      <c r="Q311" s="3" t="s">
        <v>454</v>
      </c>
      <c r="R311" s="36"/>
      <c r="S311" s="36">
        <f>R311+O311</f>
        <v>56450</v>
      </c>
      <c r="T311" s="36">
        <f>S311/0.7</f>
        <v>80642.857142857145</v>
      </c>
      <c r="U311" s="40">
        <f>T311/0.875</f>
        <v>92163.265306122456</v>
      </c>
      <c r="V311" s="41">
        <f>(U311-T311)/U311</f>
        <v>0.12500000000000003</v>
      </c>
      <c r="W311" s="40">
        <f>(ROUNDUP((U311/100),0))*100</f>
        <v>92200</v>
      </c>
      <c r="X311" s="42">
        <f>(T311-O311)/T311</f>
        <v>0.30000000000000004</v>
      </c>
      <c r="Y311" s="45">
        <v>79100</v>
      </c>
      <c r="Z311" s="46">
        <f>T311-Y311</f>
        <v>1542.8571428571449</v>
      </c>
      <c r="AA311" s="47">
        <f>Z311/Y311</f>
        <v>1.9505147191620036E-2</v>
      </c>
      <c r="AB311" s="60"/>
    </row>
    <row r="312" spans="2:76" ht="14.4" customHeight="1">
      <c r="B312" s="4">
        <v>216</v>
      </c>
      <c r="C312" s="5" t="s">
        <v>1345</v>
      </c>
      <c r="D312" s="5" t="str">
        <f>REPLACE(C312,1,3, )</f>
        <v xml:space="preserve"> 195</v>
      </c>
      <c r="E312" s="6" t="s">
        <v>1345</v>
      </c>
      <c r="F312" s="7">
        <f>IF(C312=E312,0,1)</f>
        <v>0</v>
      </c>
      <c r="G312" s="11" t="s">
        <v>298</v>
      </c>
      <c r="H312" s="11" t="s">
        <v>1522</v>
      </c>
      <c r="I312" s="11" t="s">
        <v>363</v>
      </c>
      <c r="J312" s="12">
        <v>87000</v>
      </c>
      <c r="K312" s="13">
        <f>J312-M312</f>
        <v>6900</v>
      </c>
      <c r="L312" s="7" t="s">
        <v>23</v>
      </c>
      <c r="M312" s="14">
        <f>J312-N312</f>
        <v>80100</v>
      </c>
      <c r="N312" s="15">
        <v>6900</v>
      </c>
      <c r="O312" s="39">
        <f>M312+N312</f>
        <v>87000</v>
      </c>
      <c r="P312" s="95"/>
      <c r="Q312" s="3" t="s">
        <v>448</v>
      </c>
      <c r="R312" s="36"/>
      <c r="S312" s="36">
        <f>R312+O312</f>
        <v>87000</v>
      </c>
      <c r="T312" s="36">
        <f>S312/0.7</f>
        <v>124285.71428571429</v>
      </c>
      <c r="U312" s="40">
        <f>T312/0.875</f>
        <v>142040.81632653062</v>
      </c>
      <c r="V312" s="41">
        <f>(U312-T312)/U312</f>
        <v>0.12500000000000003</v>
      </c>
      <c r="W312" s="40">
        <f>(ROUNDUP((U312/100),0))*100</f>
        <v>142100</v>
      </c>
      <c r="X312" s="42">
        <f>(T312-O312)/T312</f>
        <v>0.30000000000000004</v>
      </c>
      <c r="Y312" s="43"/>
      <c r="Z312" s="43"/>
      <c r="AA312" s="44"/>
      <c r="AB312" s="60"/>
    </row>
    <row r="313" spans="2:76" ht="14.4" customHeight="1">
      <c r="B313" s="4">
        <v>217</v>
      </c>
      <c r="C313" s="6" t="s">
        <v>1042</v>
      </c>
      <c r="D313" s="5" t="str">
        <f>REPLACE(C313,1,3, )</f>
        <v xml:space="preserve"> 737</v>
      </c>
      <c r="E313" s="6" t="s">
        <v>1042</v>
      </c>
      <c r="F313" s="7">
        <f>IF(C313=E313,0,1)</f>
        <v>0</v>
      </c>
      <c r="G313" s="8" t="s">
        <v>20</v>
      </c>
      <c r="H313" s="11" t="s">
        <v>1522</v>
      </c>
      <c r="I313" s="8" t="s">
        <v>641</v>
      </c>
      <c r="J313" s="90">
        <v>45000</v>
      </c>
      <c r="K313" s="90">
        <f>J313-M313</f>
        <v>0</v>
      </c>
      <c r="L313" s="104" t="s">
        <v>1428</v>
      </c>
      <c r="M313" s="86">
        <f>J313</f>
        <v>45000</v>
      </c>
      <c r="N313" s="87">
        <f>2000+2850+800+300</f>
        <v>5950</v>
      </c>
      <c r="O313" s="87">
        <f>M313+N313</f>
        <v>50950</v>
      </c>
      <c r="P313" s="95"/>
      <c r="Q313" s="88" t="s">
        <v>1407</v>
      </c>
      <c r="R313" s="36"/>
      <c r="S313" s="36">
        <f>R313+O313</f>
        <v>50950</v>
      </c>
      <c r="T313" s="36">
        <f>S313/0.7</f>
        <v>72785.71428571429</v>
      </c>
      <c r="U313" s="40">
        <f>T313/0.875</f>
        <v>83183.673469387766</v>
      </c>
      <c r="V313" s="41">
        <f>(U313-T313)/U313</f>
        <v>0.12500000000000006</v>
      </c>
      <c r="W313" s="40">
        <f>(ROUNDUP((U313/100),0))*100</f>
        <v>83200</v>
      </c>
      <c r="X313" s="42">
        <f>(T313-O313)/T313</f>
        <v>0.30000000000000004</v>
      </c>
      <c r="Y313" s="45">
        <v>71400</v>
      </c>
      <c r="Z313" s="46">
        <f>T313-Y313</f>
        <v>1385.7142857142899</v>
      </c>
      <c r="AA313" s="47">
        <f>Z313/Y313</f>
        <v>1.9407763105242157E-2</v>
      </c>
      <c r="AB313" s="173" t="s">
        <v>1571</v>
      </c>
      <c r="AC313" s="165">
        <v>93989.417989418012</v>
      </c>
      <c r="AD313" s="146">
        <v>91490.476190476213</v>
      </c>
      <c r="AE313" s="147">
        <v>59810</v>
      </c>
      <c r="AF313" s="148">
        <v>2.7313682286877521E-2</v>
      </c>
      <c r="AG313" s="149">
        <v>80000</v>
      </c>
      <c r="AH313" s="150">
        <v>83580</v>
      </c>
      <c r="AI313" s="146">
        <v>74837.142857142855</v>
      </c>
      <c r="AJ313" s="151"/>
      <c r="AK313" s="151"/>
      <c r="AL313" s="155">
        <v>83434</v>
      </c>
      <c r="AM313" s="146">
        <v>86310</v>
      </c>
      <c r="AN313" s="151"/>
      <c r="AO313" s="151">
        <v>81742</v>
      </c>
      <c r="AP313" s="156">
        <v>97450</v>
      </c>
      <c r="AQ313" s="146">
        <v>93000</v>
      </c>
      <c r="AR313" s="151"/>
      <c r="AS313" s="151">
        <v>84056</v>
      </c>
      <c r="AT313" s="155">
        <v>70071</v>
      </c>
      <c r="AU313" s="146">
        <v>84300</v>
      </c>
      <c r="AV313" s="151"/>
      <c r="AW313" s="149"/>
      <c r="AX313" s="151"/>
      <c r="AY313" s="151"/>
      <c r="AZ313" s="151">
        <v>86175</v>
      </c>
      <c r="BA313" s="155">
        <v>81274</v>
      </c>
      <c r="BB313" s="146">
        <v>86907</v>
      </c>
      <c r="BC313" s="151"/>
      <c r="BD313" s="151"/>
      <c r="BE313" s="149"/>
      <c r="BF313" s="150">
        <v>86062.857142857145</v>
      </c>
      <c r="BG313" s="151"/>
      <c r="BH313" s="151">
        <v>130923</v>
      </c>
      <c r="BI313" s="156">
        <v>119499</v>
      </c>
      <c r="BJ313" s="146">
        <v>96417.14285714287</v>
      </c>
      <c r="BK313" s="151"/>
      <c r="BL313" s="151"/>
      <c r="BM313" s="149"/>
      <c r="BN313" s="151"/>
      <c r="BO313" s="151"/>
      <c r="BP313" s="151"/>
      <c r="BQ313" s="149"/>
      <c r="BR313" s="151"/>
      <c r="BS313" s="151"/>
      <c r="BT313" s="151"/>
      <c r="BU313" s="149"/>
      <c r="BV313" s="146">
        <v>90244.285714285725</v>
      </c>
      <c r="BW313" s="146">
        <v>71280</v>
      </c>
      <c r="BX313" s="153"/>
    </row>
    <row r="314" spans="2:76" ht="14.4" customHeight="1">
      <c r="B314" s="4">
        <v>436</v>
      </c>
      <c r="C314" s="38" t="s">
        <v>756</v>
      </c>
      <c r="D314" s="5" t="str">
        <f>REPLACE(C314,1,3, )</f>
        <v xml:space="preserve"> 841</v>
      </c>
      <c r="E314" s="6" t="s">
        <v>756</v>
      </c>
      <c r="F314" s="7">
        <f>IF(C314=E314,0,1)</f>
        <v>0</v>
      </c>
      <c r="G314" s="8" t="s">
        <v>298</v>
      </c>
      <c r="H314" s="8" t="s">
        <v>308</v>
      </c>
      <c r="I314" s="8" t="s">
        <v>757</v>
      </c>
      <c r="J314" s="12"/>
      <c r="K314" s="13">
        <f>J314-M314</f>
        <v>0</v>
      </c>
      <c r="L314" s="7"/>
      <c r="M314" s="14">
        <f>J314-N314</f>
        <v>0</v>
      </c>
      <c r="N314" s="15"/>
      <c r="O314" s="39">
        <f>M314+N314</f>
        <v>0</v>
      </c>
      <c r="P314" s="95"/>
      <c r="Q314" s="3"/>
      <c r="R314" s="36"/>
      <c r="S314" s="36">
        <f>R314+O314</f>
        <v>0</v>
      </c>
      <c r="T314" s="36">
        <f>S314/0.7</f>
        <v>0</v>
      </c>
      <c r="U314" s="40">
        <f>T314/0.875</f>
        <v>0</v>
      </c>
      <c r="V314" s="41" t="e">
        <f>(U314-T314)/U314</f>
        <v>#DIV/0!</v>
      </c>
      <c r="W314" s="40">
        <f>(ROUNDUP((U314/100),0))*100</f>
        <v>0</v>
      </c>
      <c r="X314" s="42" t="e">
        <f>(T314-O314)/T314</f>
        <v>#DIV/0!</v>
      </c>
      <c r="Y314" s="43"/>
      <c r="Z314" s="43"/>
      <c r="AA314" s="44"/>
      <c r="AB314" s="60"/>
    </row>
    <row r="315" spans="2:76" ht="14.4" customHeight="1">
      <c r="B315" s="4">
        <v>437</v>
      </c>
      <c r="C315" s="38" t="s">
        <v>758</v>
      </c>
      <c r="D315" s="5" t="str">
        <f>REPLACE(C315,1,3, )</f>
        <v xml:space="preserve"> 273</v>
      </c>
      <c r="E315" s="6" t="s">
        <v>758</v>
      </c>
      <c r="F315" s="7">
        <f>IF(C315=E315,0,1)</f>
        <v>0</v>
      </c>
      <c r="G315" s="8" t="s">
        <v>20</v>
      </c>
      <c r="H315" s="8" t="s">
        <v>308</v>
      </c>
      <c r="I315" s="8" t="s">
        <v>616</v>
      </c>
      <c r="J315" s="12"/>
      <c r="K315" s="13">
        <f>J315-M315</f>
        <v>0</v>
      </c>
      <c r="L315" s="7"/>
      <c r="M315" s="14">
        <f>J315-N315</f>
        <v>0</v>
      </c>
      <c r="N315" s="15"/>
      <c r="O315" s="39">
        <f>M315+N315</f>
        <v>0</v>
      </c>
      <c r="P315" s="95"/>
      <c r="Q315" s="3"/>
      <c r="R315" s="36"/>
      <c r="S315" s="36">
        <f>R315+O315</f>
        <v>0</v>
      </c>
      <c r="T315" s="36">
        <f>S315/0.7</f>
        <v>0</v>
      </c>
      <c r="U315" s="40">
        <f>T315/0.875</f>
        <v>0</v>
      </c>
      <c r="V315" s="41" t="e">
        <f>(U315-T315)/U315</f>
        <v>#DIV/0!</v>
      </c>
      <c r="W315" s="40">
        <f>(ROUNDUP((U315/100),0))*100</f>
        <v>0</v>
      </c>
      <c r="X315" s="42" t="e">
        <f>(T315-O315)/T315</f>
        <v>#DIV/0!</v>
      </c>
      <c r="Y315" s="45">
        <v>49438</v>
      </c>
      <c r="Z315" s="46">
        <f>T315-Y315</f>
        <v>-49438</v>
      </c>
      <c r="AA315" s="47">
        <f>Z315/Y315</f>
        <v>-1</v>
      </c>
      <c r="AB315" s="60"/>
    </row>
    <row r="316" spans="2:76" ht="14.4" customHeight="1">
      <c r="B316" s="4">
        <v>438</v>
      </c>
      <c r="C316" s="5" t="s">
        <v>66</v>
      </c>
      <c r="D316" s="5" t="str">
        <f>REPLACE(C316,1,3, )</f>
        <v xml:space="preserve"> 192</v>
      </c>
      <c r="E316" s="6" t="s">
        <v>66</v>
      </c>
      <c r="F316" s="7">
        <f>IF(C316=E316,0,1)</f>
        <v>0</v>
      </c>
      <c r="G316" s="11" t="s">
        <v>20</v>
      </c>
      <c r="H316" s="11" t="s">
        <v>308</v>
      </c>
      <c r="I316" s="11" t="s">
        <v>351</v>
      </c>
      <c r="J316" s="12">
        <v>29000</v>
      </c>
      <c r="K316" s="13">
        <f>J316-M316</f>
        <v>4450</v>
      </c>
      <c r="L316" s="7" t="s">
        <v>23</v>
      </c>
      <c r="M316" s="14">
        <f>J316-N316</f>
        <v>24550</v>
      </c>
      <c r="N316" s="15">
        <f>2000+200+600+1650</f>
        <v>4450</v>
      </c>
      <c r="O316" s="39">
        <f>M316+N316</f>
        <v>29000</v>
      </c>
      <c r="P316" s="95"/>
      <c r="Q316" s="3" t="s">
        <v>415</v>
      </c>
      <c r="R316" s="36"/>
      <c r="S316" s="36">
        <f>R316+O316</f>
        <v>29000</v>
      </c>
      <c r="T316" s="36">
        <f>S316/0.7</f>
        <v>41428.571428571435</v>
      </c>
      <c r="U316" s="40">
        <f>T316/0.875</f>
        <v>47346.938775510214</v>
      </c>
      <c r="V316" s="41">
        <f>(U316-T316)/U316</f>
        <v>0.12500000000000006</v>
      </c>
      <c r="W316" s="40">
        <f>(ROUNDUP((U316/100),0))*100</f>
        <v>47400</v>
      </c>
      <c r="X316" s="42">
        <f>(T316-O316)/T316</f>
        <v>0.3000000000000001</v>
      </c>
      <c r="Y316" s="45">
        <v>46463</v>
      </c>
      <c r="Z316" s="46">
        <f>T316-Y316</f>
        <v>-5034.4285714285652</v>
      </c>
      <c r="AA316" s="47">
        <f>Z316/Y316</f>
        <v>-0.10835349786773486</v>
      </c>
      <c r="AB316" s="60"/>
    </row>
    <row r="317" spans="2:76" ht="14.4" customHeight="1">
      <c r="B317" s="4">
        <v>439</v>
      </c>
      <c r="C317" s="5" t="s">
        <v>477</v>
      </c>
      <c r="D317" s="5" t="str">
        <f>REPLACE(C317,1,3, )</f>
        <v xml:space="preserve"> 730</v>
      </c>
      <c r="E317" s="6" t="s">
        <v>477</v>
      </c>
      <c r="F317" s="7">
        <f>IF(C317=E317,0,1)</f>
        <v>0</v>
      </c>
      <c r="G317" s="11" t="s">
        <v>298</v>
      </c>
      <c r="H317" s="11" t="s">
        <v>308</v>
      </c>
      <c r="I317" s="11" t="s">
        <v>351</v>
      </c>
      <c r="J317" s="12">
        <v>29000</v>
      </c>
      <c r="K317" s="13">
        <f>J317-M317</f>
        <v>4450</v>
      </c>
      <c r="L317" s="7" t="s">
        <v>23</v>
      </c>
      <c r="M317" s="14">
        <f>J317-N317</f>
        <v>24550</v>
      </c>
      <c r="N317" s="15">
        <f>2000+200+600+1650</f>
        <v>4450</v>
      </c>
      <c r="O317" s="39">
        <f>M317+N317</f>
        <v>29000</v>
      </c>
      <c r="P317" s="95"/>
      <c r="Q317" s="3" t="s">
        <v>415</v>
      </c>
      <c r="R317" s="36"/>
      <c r="S317" s="36">
        <f>R317+O317</f>
        <v>29000</v>
      </c>
      <c r="T317" s="36">
        <f>S317/0.7</f>
        <v>41428.571428571435</v>
      </c>
      <c r="U317" s="40">
        <f>T317/0.875</f>
        <v>47346.938775510214</v>
      </c>
      <c r="V317" s="41">
        <f>(U317-T317)/U317</f>
        <v>0.12500000000000006</v>
      </c>
      <c r="W317" s="40">
        <f>(ROUNDUP((U317/100),0))*100</f>
        <v>47400</v>
      </c>
      <c r="X317" s="42">
        <f>(T317-O317)/T317</f>
        <v>0.3000000000000001</v>
      </c>
      <c r="Y317" s="43"/>
      <c r="Z317" s="43"/>
      <c r="AA317" s="43"/>
      <c r="AB317" s="59"/>
    </row>
    <row r="318" spans="2:76" ht="14.4" customHeight="1">
      <c r="B318" s="4">
        <v>440</v>
      </c>
      <c r="C318" s="5" t="s">
        <v>210</v>
      </c>
      <c r="D318" s="5" t="str">
        <f>REPLACE(C318,1,3, )</f>
        <v xml:space="preserve"> 665</v>
      </c>
      <c r="E318" s="6" t="s">
        <v>210</v>
      </c>
      <c r="F318" s="7">
        <f>IF(C318=E318,0,1)</f>
        <v>0</v>
      </c>
      <c r="G318" s="11" t="s">
        <v>298</v>
      </c>
      <c r="H318" s="11" t="s">
        <v>308</v>
      </c>
      <c r="I318" s="11" t="s">
        <v>351</v>
      </c>
      <c r="J318" s="12">
        <v>29000</v>
      </c>
      <c r="K318" s="13">
        <f>J318-M318</f>
        <v>4450</v>
      </c>
      <c r="L318" s="7" t="s">
        <v>23</v>
      </c>
      <c r="M318" s="14">
        <f>J318-N318</f>
        <v>24550</v>
      </c>
      <c r="N318" s="15">
        <f>2000+200+600+1650</f>
        <v>4450</v>
      </c>
      <c r="O318" s="39">
        <f>M318+N318</f>
        <v>29000</v>
      </c>
      <c r="P318" s="95"/>
      <c r="Q318" s="3" t="s">
        <v>415</v>
      </c>
      <c r="R318" s="36"/>
      <c r="S318" s="36">
        <f>R318+O318</f>
        <v>29000</v>
      </c>
      <c r="T318" s="36">
        <f>S318/0.7</f>
        <v>41428.571428571435</v>
      </c>
      <c r="U318" s="40">
        <f>T318/0.875</f>
        <v>47346.938775510214</v>
      </c>
      <c r="V318" s="41">
        <f>(U318-T318)/U318</f>
        <v>0.12500000000000006</v>
      </c>
      <c r="W318" s="40">
        <f>(ROUNDUP((U318/100),0))*100</f>
        <v>47400</v>
      </c>
      <c r="X318" s="42">
        <f>(T318-O318)/T318</f>
        <v>0.3000000000000001</v>
      </c>
      <c r="Y318" s="43"/>
      <c r="Z318" s="43"/>
      <c r="AA318" s="43"/>
      <c r="AB318" s="59"/>
    </row>
    <row r="319" spans="2:76" ht="14.4" customHeight="1">
      <c r="B319" s="4">
        <v>441</v>
      </c>
      <c r="C319" s="38" t="s">
        <v>759</v>
      </c>
      <c r="D319" s="5" t="str">
        <f>REPLACE(C319,1,3, )</f>
        <v xml:space="preserve"> 411</v>
      </c>
      <c r="E319" s="6" t="s">
        <v>759</v>
      </c>
      <c r="F319" s="7">
        <f>IF(C319=E319,0,1)</f>
        <v>0</v>
      </c>
      <c r="G319" s="8" t="s">
        <v>298</v>
      </c>
      <c r="H319" s="8" t="s">
        <v>308</v>
      </c>
      <c r="I319" s="8" t="s">
        <v>760</v>
      </c>
      <c r="J319" s="12">
        <v>30000</v>
      </c>
      <c r="K319" s="13">
        <f>J319-M319</f>
        <v>4450</v>
      </c>
      <c r="L319" s="7" t="s">
        <v>23</v>
      </c>
      <c r="M319" s="14">
        <f>J319-N319</f>
        <v>25550</v>
      </c>
      <c r="N319" s="15">
        <f>2000+200+600+1650</f>
        <v>4450</v>
      </c>
      <c r="O319" s="39">
        <f>M319+N319</f>
        <v>30000</v>
      </c>
      <c r="P319" s="95"/>
      <c r="Q319" s="77" t="s">
        <v>1380</v>
      </c>
      <c r="R319" s="36"/>
      <c r="S319" s="36">
        <f>R319+O319</f>
        <v>30000</v>
      </c>
      <c r="T319" s="36">
        <f>S319/0.7</f>
        <v>42857.142857142862</v>
      </c>
      <c r="U319" s="40">
        <f>T319/0.875</f>
        <v>48979.591836734697</v>
      </c>
      <c r="V319" s="41">
        <f>(U319-T319)/U319</f>
        <v>0.12499999999999994</v>
      </c>
      <c r="W319" s="40">
        <f>(ROUNDUP((U319/100),0))*100</f>
        <v>49000</v>
      </c>
      <c r="X319" s="42">
        <f>(T319-O319)/T319</f>
        <v>0.3000000000000001</v>
      </c>
      <c r="Y319" s="43"/>
      <c r="Z319" s="43"/>
      <c r="AA319" s="43"/>
      <c r="AB319" s="59"/>
    </row>
    <row r="320" spans="2:76" ht="14.4" customHeight="1">
      <c r="B320" s="4">
        <v>442</v>
      </c>
      <c r="C320" s="5" t="s">
        <v>209</v>
      </c>
      <c r="D320" s="5" t="str">
        <f>REPLACE(C320,1,3, )</f>
        <v xml:space="preserve"> 710</v>
      </c>
      <c r="E320" s="6" t="s">
        <v>209</v>
      </c>
      <c r="F320" s="7">
        <f>IF(C320=E320,0,1)</f>
        <v>0</v>
      </c>
      <c r="G320" s="11" t="s">
        <v>298</v>
      </c>
      <c r="H320" s="11" t="s">
        <v>308</v>
      </c>
      <c r="I320" s="11" t="s">
        <v>351</v>
      </c>
      <c r="J320" s="12">
        <v>30000</v>
      </c>
      <c r="K320" s="13">
        <f>J320-M320</f>
        <v>4450</v>
      </c>
      <c r="L320" s="7" t="s">
        <v>23</v>
      </c>
      <c r="M320" s="14">
        <f>J320-N320</f>
        <v>25550</v>
      </c>
      <c r="N320" s="15">
        <f>2000+200+600+1650</f>
        <v>4450</v>
      </c>
      <c r="O320" s="39">
        <f>M320+N320</f>
        <v>30000</v>
      </c>
      <c r="P320" s="95"/>
      <c r="Q320" s="3" t="s">
        <v>415</v>
      </c>
      <c r="R320" s="36"/>
      <c r="S320" s="36">
        <f>R320+O320</f>
        <v>30000</v>
      </c>
      <c r="T320" s="36">
        <f>S320/0.7</f>
        <v>42857.142857142862</v>
      </c>
      <c r="U320" s="40">
        <f>T320/0.875</f>
        <v>48979.591836734697</v>
      </c>
      <c r="V320" s="41">
        <f>(U320-T320)/U320</f>
        <v>0.12499999999999994</v>
      </c>
      <c r="W320" s="40">
        <f>(ROUNDUP((U320/100),0))*100</f>
        <v>49000</v>
      </c>
      <c r="X320" s="42">
        <f>(T320-O320)/T320</f>
        <v>0.3000000000000001</v>
      </c>
      <c r="Y320" s="43"/>
      <c r="Z320" s="43"/>
      <c r="AA320" s="44"/>
      <c r="AB320" s="60"/>
    </row>
    <row r="321" spans="2:29" ht="14.4" customHeight="1">
      <c r="B321" s="4">
        <v>443</v>
      </c>
      <c r="C321" s="5" t="s">
        <v>208</v>
      </c>
      <c r="D321" s="5" t="str">
        <f>REPLACE(C321,1,3, )</f>
        <v xml:space="preserve"> 454</v>
      </c>
      <c r="E321" s="6" t="s">
        <v>208</v>
      </c>
      <c r="F321" s="7">
        <f>IF(C321=E321,0,1)</f>
        <v>0</v>
      </c>
      <c r="G321" s="11" t="s">
        <v>298</v>
      </c>
      <c r="H321" s="11" t="s">
        <v>308</v>
      </c>
      <c r="I321" s="11" t="s">
        <v>351</v>
      </c>
      <c r="J321" s="12">
        <v>29000</v>
      </c>
      <c r="K321" s="13">
        <f>J321-M321</f>
        <v>4450</v>
      </c>
      <c r="L321" s="7" t="s">
        <v>23</v>
      </c>
      <c r="M321" s="14">
        <f>J321-N321</f>
        <v>24550</v>
      </c>
      <c r="N321" s="15">
        <f>2000+200+600+1650</f>
        <v>4450</v>
      </c>
      <c r="O321" s="39">
        <f>M321+N321</f>
        <v>29000</v>
      </c>
      <c r="P321" s="95"/>
      <c r="Q321" s="3" t="s">
        <v>415</v>
      </c>
      <c r="R321" s="36"/>
      <c r="S321" s="36">
        <f>R321+O321</f>
        <v>29000</v>
      </c>
      <c r="T321" s="36">
        <f>S321/0.7</f>
        <v>41428.571428571435</v>
      </c>
      <c r="U321" s="40">
        <f>T321/0.875</f>
        <v>47346.938775510214</v>
      </c>
      <c r="V321" s="41">
        <f>(U321-T321)/U321</f>
        <v>0.12500000000000006</v>
      </c>
      <c r="W321" s="40">
        <f>(ROUNDUP((U321/100),0))*100</f>
        <v>47400</v>
      </c>
      <c r="X321" s="42">
        <f>(T321-O321)/T321</f>
        <v>0.3000000000000001</v>
      </c>
      <c r="Y321" s="43"/>
      <c r="Z321" s="43"/>
      <c r="AA321" s="43"/>
      <c r="AB321" s="59"/>
    </row>
    <row r="322" spans="2:29" ht="14.4" customHeight="1">
      <c r="B322" s="4">
        <v>444</v>
      </c>
      <c r="C322" s="38" t="s">
        <v>761</v>
      </c>
      <c r="D322" s="5" t="str">
        <f>REPLACE(C322,1,3, )</f>
        <v xml:space="preserve"> 355</v>
      </c>
      <c r="E322" s="6" t="s">
        <v>761</v>
      </c>
      <c r="F322" s="7">
        <f>IF(C322=E322,0,1)</f>
        <v>0</v>
      </c>
      <c r="G322" s="8" t="s">
        <v>298</v>
      </c>
      <c r="H322" s="8" t="s">
        <v>308</v>
      </c>
      <c r="I322" s="8" t="s">
        <v>762</v>
      </c>
      <c r="J322" s="12">
        <v>34000</v>
      </c>
      <c r="K322" s="13">
        <f>J322-M322</f>
        <v>4450</v>
      </c>
      <c r="L322" s="7"/>
      <c r="M322" s="14">
        <f>J322-N322</f>
        <v>29550</v>
      </c>
      <c r="N322" s="15">
        <f>2000+200+600+1650</f>
        <v>4450</v>
      </c>
      <c r="O322" s="39">
        <f>M322+N322</f>
        <v>34000</v>
      </c>
      <c r="P322" s="95"/>
      <c r="Q322" s="77" t="s">
        <v>1381</v>
      </c>
      <c r="R322" s="36"/>
      <c r="S322" s="36">
        <f>R322+O322</f>
        <v>34000</v>
      </c>
      <c r="T322" s="36">
        <f>S322/0.7</f>
        <v>48571.428571428572</v>
      </c>
      <c r="U322" s="40">
        <f>T322/0.875</f>
        <v>55510.204081632655</v>
      </c>
      <c r="V322" s="41">
        <f>(U322-T322)/U322</f>
        <v>0.12500000000000003</v>
      </c>
      <c r="W322" s="40">
        <f>(ROUNDUP((U322/100),0))*100</f>
        <v>55600</v>
      </c>
      <c r="X322" s="42">
        <f>(T322-O322)/T322</f>
        <v>0.3</v>
      </c>
      <c r="Y322" s="43"/>
      <c r="Z322" s="43"/>
      <c r="AA322" s="43"/>
      <c r="AB322" s="59"/>
    </row>
    <row r="323" spans="2:29" ht="14.4" customHeight="1">
      <c r="B323" s="4">
        <v>445</v>
      </c>
      <c r="C323" s="38" t="s">
        <v>763</v>
      </c>
      <c r="D323" s="5" t="str">
        <f>REPLACE(C323,1,3, )</f>
        <v xml:space="preserve"> 324</v>
      </c>
      <c r="E323" s="6" t="s">
        <v>763</v>
      </c>
      <c r="F323" s="7">
        <f>IF(C323=E323,0,1)</f>
        <v>0</v>
      </c>
      <c r="G323" s="8" t="s">
        <v>20</v>
      </c>
      <c r="H323" s="8" t="s">
        <v>308</v>
      </c>
      <c r="I323" s="8" t="s">
        <v>764</v>
      </c>
      <c r="J323" s="87">
        <v>27000</v>
      </c>
      <c r="K323" s="87">
        <f>J323-M323</f>
        <v>4600</v>
      </c>
      <c r="L323" s="103" t="s">
        <v>1429</v>
      </c>
      <c r="M323" s="87">
        <f>J323-N323</f>
        <v>22400</v>
      </c>
      <c r="N323" s="87">
        <f>2000+1600+800+200</f>
        <v>4600</v>
      </c>
      <c r="O323" s="101">
        <f>N323+M323</f>
        <v>27000</v>
      </c>
      <c r="P323" s="95"/>
      <c r="Q323" s="88" t="s">
        <v>1404</v>
      </c>
      <c r="R323" s="36"/>
      <c r="S323" s="36">
        <f>R323+O323</f>
        <v>27000</v>
      </c>
      <c r="T323" s="36">
        <f>S323/0.7</f>
        <v>38571.428571428572</v>
      </c>
      <c r="U323" s="40">
        <f>T323/0.875</f>
        <v>44081.632653061228</v>
      </c>
      <c r="V323" s="41">
        <f>(U323-T323)/U323</f>
        <v>0.12500000000000003</v>
      </c>
      <c r="W323" s="40">
        <f>(ROUNDUP((U323/100),0))*100</f>
        <v>44100</v>
      </c>
      <c r="X323" s="42">
        <f>(T323-O323)/T323</f>
        <v>0.30000000000000004</v>
      </c>
      <c r="Y323" s="45">
        <v>45763</v>
      </c>
      <c r="Z323" s="46">
        <f>T323-Y323</f>
        <v>-7191.5714285714275</v>
      </c>
      <c r="AA323" s="47">
        <f>Z323/Y323</f>
        <v>-0.15714816398775053</v>
      </c>
      <c r="AB323" s="60"/>
    </row>
    <row r="324" spans="2:29" ht="14.4" customHeight="1">
      <c r="B324" s="4">
        <v>446</v>
      </c>
      <c r="C324" s="5" t="s">
        <v>213</v>
      </c>
      <c r="D324" s="5" t="str">
        <f>REPLACE(C324,1,3, )</f>
        <v xml:space="preserve"> 719</v>
      </c>
      <c r="E324" s="6" t="s">
        <v>213</v>
      </c>
      <c r="F324" s="7">
        <f>IF(C324=E324,0,1)</f>
        <v>0</v>
      </c>
      <c r="G324" s="11" t="s">
        <v>298</v>
      </c>
      <c r="H324" s="11" t="s">
        <v>308</v>
      </c>
      <c r="I324" s="11" t="s">
        <v>351</v>
      </c>
      <c r="J324" s="12">
        <v>29000</v>
      </c>
      <c r="K324" s="13">
        <f>J324-M324</f>
        <v>4450</v>
      </c>
      <c r="L324" s="7" t="s">
        <v>23</v>
      </c>
      <c r="M324" s="14">
        <f>J324-N324</f>
        <v>24550</v>
      </c>
      <c r="N324" s="15">
        <f>2000+200+600+1650</f>
        <v>4450</v>
      </c>
      <c r="O324" s="39">
        <f>M324+N324</f>
        <v>29000</v>
      </c>
      <c r="P324" s="95"/>
      <c r="Q324" s="3" t="s">
        <v>415</v>
      </c>
      <c r="R324" s="36"/>
      <c r="S324" s="36">
        <f>R324+O324</f>
        <v>29000</v>
      </c>
      <c r="T324" s="36">
        <f>S324/0.7</f>
        <v>41428.571428571435</v>
      </c>
      <c r="U324" s="40">
        <f>T324/0.875</f>
        <v>47346.938775510214</v>
      </c>
      <c r="V324" s="41">
        <f>(U324-T324)/U324</f>
        <v>0.12500000000000006</v>
      </c>
      <c r="W324" s="40">
        <f>(ROUNDUP((U324/100),0))*100</f>
        <v>47400</v>
      </c>
      <c r="X324" s="42">
        <f>(T324-O324)/T324</f>
        <v>0.3000000000000001</v>
      </c>
      <c r="Y324" s="43"/>
      <c r="Z324" s="43"/>
      <c r="AA324" s="43"/>
      <c r="AB324" s="59"/>
    </row>
    <row r="325" spans="2:29" ht="14.4" customHeight="1">
      <c r="B325" s="4">
        <v>447</v>
      </c>
      <c r="C325" s="38" t="s">
        <v>765</v>
      </c>
      <c r="D325" s="5" t="str">
        <f>REPLACE(C325,1,3, )</f>
        <v xml:space="preserve"> 369</v>
      </c>
      <c r="E325" s="6" t="s">
        <v>765</v>
      </c>
      <c r="F325" s="7">
        <f>IF(C325=E325,0,1)</f>
        <v>0</v>
      </c>
      <c r="G325" s="8" t="s">
        <v>20</v>
      </c>
      <c r="H325" s="8" t="s">
        <v>308</v>
      </c>
      <c r="I325" s="8" t="s">
        <v>613</v>
      </c>
      <c r="J325" s="12">
        <v>28500</v>
      </c>
      <c r="K325" s="13">
        <f>J325-M325</f>
        <v>4450</v>
      </c>
      <c r="L325" s="7" t="s">
        <v>23</v>
      </c>
      <c r="M325" s="14">
        <f>J325-N325</f>
        <v>24050</v>
      </c>
      <c r="N325" s="15">
        <f>2000+1650+600+200</f>
        <v>4450</v>
      </c>
      <c r="O325" s="39">
        <f>M325+N325</f>
        <v>28500</v>
      </c>
      <c r="P325" s="95"/>
      <c r="Q325" s="77" t="s">
        <v>1359</v>
      </c>
      <c r="R325" s="36"/>
      <c r="S325" s="36">
        <f>R325+O325</f>
        <v>28500</v>
      </c>
      <c r="T325" s="36">
        <f>S325/0.7</f>
        <v>40714.285714285717</v>
      </c>
      <c r="U325" s="40">
        <f>T325/0.875</f>
        <v>46530.612244897966</v>
      </c>
      <c r="V325" s="41">
        <f>(U325-T325)/U325</f>
        <v>0.12500000000000006</v>
      </c>
      <c r="W325" s="40">
        <f>(ROUNDUP((U325/100),0))*100</f>
        <v>46600</v>
      </c>
      <c r="X325" s="42">
        <f>(T325-O325)/T325</f>
        <v>0.30000000000000004</v>
      </c>
      <c r="Y325" s="45">
        <v>46463</v>
      </c>
      <c r="Z325" s="46">
        <f>T325-Y325</f>
        <v>-5748.7142857142826</v>
      </c>
      <c r="AA325" s="47">
        <f>Z325/Y325</f>
        <v>-0.12372671342173951</v>
      </c>
      <c r="AB325" s="60"/>
    </row>
    <row r="326" spans="2:29" ht="14.4" customHeight="1">
      <c r="B326" s="4">
        <v>448</v>
      </c>
      <c r="C326" s="5" t="s">
        <v>67</v>
      </c>
      <c r="D326" s="5" t="str">
        <f>REPLACE(C326,1,3, )</f>
        <v xml:space="preserve"> 611</v>
      </c>
      <c r="E326" s="6" t="s">
        <v>67</v>
      </c>
      <c r="F326" s="7">
        <f>IF(C326=E326,0,1)</f>
        <v>0</v>
      </c>
      <c r="G326" s="11" t="s">
        <v>20</v>
      </c>
      <c r="H326" s="11" t="s">
        <v>308</v>
      </c>
      <c r="I326" s="11" t="s">
        <v>333</v>
      </c>
      <c r="J326" s="12">
        <v>25000</v>
      </c>
      <c r="K326" s="13">
        <f>J326-M326</f>
        <v>5100</v>
      </c>
      <c r="L326" s="7" t="s">
        <v>23</v>
      </c>
      <c r="M326" s="14">
        <f>J326-N326</f>
        <v>19900</v>
      </c>
      <c r="N326" s="14">
        <f>2000+200+600+1650+650</f>
        <v>5100</v>
      </c>
      <c r="O326" s="39">
        <f>M326+N326</f>
        <v>25000</v>
      </c>
      <c r="P326" s="95"/>
      <c r="Q326" s="3" t="s">
        <v>388</v>
      </c>
      <c r="R326" s="36"/>
      <c r="S326" s="36">
        <f>R326+O326</f>
        <v>25000</v>
      </c>
      <c r="T326" s="36">
        <f>S326/0.7</f>
        <v>35714.285714285717</v>
      </c>
      <c r="U326" s="40">
        <f>T326/0.875</f>
        <v>40816.326530612248</v>
      </c>
      <c r="V326" s="41">
        <f>(U326-T326)/U326</f>
        <v>0.125</v>
      </c>
      <c r="W326" s="40">
        <f>(ROUNDUP((U326/100),0))*100</f>
        <v>40900</v>
      </c>
      <c r="X326" s="42">
        <f>(T326-O326)/T326</f>
        <v>0.30000000000000004</v>
      </c>
      <c r="Y326" s="45">
        <v>42875</v>
      </c>
      <c r="Z326" s="46">
        <f>T326-Y326</f>
        <v>-7160.7142857142826</v>
      </c>
      <c r="AA326" s="47">
        <f>Z326/Y326</f>
        <v>-0.16701374427321941</v>
      </c>
      <c r="AB326" s="60"/>
    </row>
    <row r="327" spans="2:29" ht="14.4" customHeight="1">
      <c r="B327" s="4">
        <v>449</v>
      </c>
      <c r="C327" s="5" t="s">
        <v>214</v>
      </c>
      <c r="D327" s="5" t="str">
        <f>REPLACE(C327,1,3, )</f>
        <v xml:space="preserve"> 857</v>
      </c>
      <c r="E327" s="6" t="s">
        <v>214</v>
      </c>
      <c r="F327" s="7">
        <f>IF(C327=E327,0,1)</f>
        <v>0</v>
      </c>
      <c r="G327" s="11" t="s">
        <v>298</v>
      </c>
      <c r="H327" s="11" t="s">
        <v>308</v>
      </c>
      <c r="I327" s="11" t="s">
        <v>351</v>
      </c>
      <c r="J327" s="12">
        <v>31000</v>
      </c>
      <c r="K327" s="13">
        <f>J327-M327</f>
        <v>4450</v>
      </c>
      <c r="L327" s="7" t="s">
        <v>23</v>
      </c>
      <c r="M327" s="14">
        <f>J327-N327</f>
        <v>26550</v>
      </c>
      <c r="N327" s="15">
        <f>2000+200+600+1650</f>
        <v>4450</v>
      </c>
      <c r="O327" s="39">
        <f>M327+N327</f>
        <v>31000</v>
      </c>
      <c r="P327" s="95"/>
      <c r="Q327" s="3" t="s">
        <v>415</v>
      </c>
      <c r="R327" s="36"/>
      <c r="S327" s="36">
        <f>R327+O327</f>
        <v>31000</v>
      </c>
      <c r="T327" s="36">
        <f>S327/0.7</f>
        <v>44285.71428571429</v>
      </c>
      <c r="U327" s="40">
        <f>T327/0.875</f>
        <v>50612.244897959186</v>
      </c>
      <c r="V327" s="41">
        <f>(U327-T327)/U327</f>
        <v>0.12499999999999996</v>
      </c>
      <c r="W327" s="40">
        <f>(ROUNDUP((U327/100),0))*100</f>
        <v>50700</v>
      </c>
      <c r="X327" s="42">
        <f>(T327-O327)/T327</f>
        <v>0.30000000000000004</v>
      </c>
      <c r="Y327" s="43"/>
      <c r="Z327" s="43"/>
      <c r="AA327" s="43"/>
      <c r="AB327" s="59"/>
    </row>
    <row r="328" spans="2:29" ht="14.4" customHeight="1">
      <c r="B328" s="4">
        <v>450</v>
      </c>
      <c r="C328" s="5" t="s">
        <v>471</v>
      </c>
      <c r="D328" s="5" t="str">
        <f>REPLACE(C328,1,3, )</f>
        <v xml:space="preserve"> 251</v>
      </c>
      <c r="E328" s="6" t="s">
        <v>471</v>
      </c>
      <c r="F328" s="7">
        <f>IF(C328=E328,0,1)</f>
        <v>0</v>
      </c>
      <c r="G328" s="11" t="s">
        <v>479</v>
      </c>
      <c r="H328" s="11" t="s">
        <v>308</v>
      </c>
      <c r="I328" s="11" t="s">
        <v>333</v>
      </c>
      <c r="J328" s="12">
        <v>26000</v>
      </c>
      <c r="K328" s="13">
        <f>J328-M328</f>
        <v>5100</v>
      </c>
      <c r="L328" s="7" t="s">
        <v>23</v>
      </c>
      <c r="M328" s="14">
        <f>J328-N328</f>
        <v>20900</v>
      </c>
      <c r="N328" s="14">
        <f>2000+200+600+1650+650</f>
        <v>5100</v>
      </c>
      <c r="O328" s="39">
        <f>M328+N328</f>
        <v>26000</v>
      </c>
      <c r="P328" s="96"/>
      <c r="Q328" s="3" t="s">
        <v>388</v>
      </c>
      <c r="R328" s="36"/>
      <c r="S328" s="36">
        <f>R328+O328</f>
        <v>26000</v>
      </c>
      <c r="T328" s="36">
        <f>S328/0.7</f>
        <v>37142.857142857145</v>
      </c>
      <c r="U328" s="40">
        <f>T328/0.875</f>
        <v>42448.979591836738</v>
      </c>
      <c r="V328" s="41">
        <f>(U328-T328)/U328</f>
        <v>0.12500000000000003</v>
      </c>
      <c r="W328" s="40">
        <f>(ROUNDUP((U328/100),0))*100</f>
        <v>42500</v>
      </c>
      <c r="X328" s="42">
        <f>(T328-O328)/T328</f>
        <v>0.30000000000000004</v>
      </c>
      <c r="Y328" s="45">
        <v>0</v>
      </c>
      <c r="Z328" s="46">
        <f>T328-Y328</f>
        <v>37142.857142857145</v>
      </c>
      <c r="AA328" s="47" t="e">
        <f>Z328/Y328</f>
        <v>#DIV/0!</v>
      </c>
      <c r="AB328" s="60"/>
    </row>
    <row r="329" spans="2:29" ht="14.4" customHeight="1">
      <c r="B329" s="4">
        <v>451</v>
      </c>
      <c r="C329" s="5" t="s">
        <v>212</v>
      </c>
      <c r="D329" s="5" t="str">
        <f>REPLACE(C329,1,3, )</f>
        <v xml:space="preserve"> 564</v>
      </c>
      <c r="E329" s="6" t="s">
        <v>212</v>
      </c>
      <c r="F329" s="7">
        <f>IF(C329=E329,0,1)</f>
        <v>0</v>
      </c>
      <c r="G329" s="11" t="s">
        <v>298</v>
      </c>
      <c r="H329" s="11" t="s">
        <v>308</v>
      </c>
      <c r="I329" s="11" t="s">
        <v>351</v>
      </c>
      <c r="J329" s="12">
        <v>32500</v>
      </c>
      <c r="K329" s="13">
        <f>J329-M329</f>
        <v>4800</v>
      </c>
      <c r="L329" s="7" t="s">
        <v>23</v>
      </c>
      <c r="M329" s="14">
        <f>J329-N329</f>
        <v>27700</v>
      </c>
      <c r="N329" s="15">
        <f>2000+200+600+2000</f>
        <v>4800</v>
      </c>
      <c r="O329" s="39">
        <f>M329+N329</f>
        <v>32500</v>
      </c>
      <c r="P329" s="95"/>
      <c r="Q329" s="3" t="s">
        <v>416</v>
      </c>
      <c r="R329" s="36"/>
      <c r="S329" s="36">
        <f>R329+O329</f>
        <v>32500</v>
      </c>
      <c r="T329" s="36">
        <f>S329/0.7</f>
        <v>46428.571428571435</v>
      </c>
      <c r="U329" s="40">
        <f>T329/0.875</f>
        <v>53061.224489795924</v>
      </c>
      <c r="V329" s="41">
        <f>(U329-T329)/U329</f>
        <v>0.12499999999999999</v>
      </c>
      <c r="W329" s="40">
        <f>(ROUNDUP((U329/100),0))*100</f>
        <v>53100</v>
      </c>
      <c r="X329" s="42">
        <f>(T329-O329)/T329</f>
        <v>0.3000000000000001</v>
      </c>
      <c r="Y329" s="43"/>
      <c r="Z329" s="43"/>
      <c r="AA329" s="44"/>
      <c r="AB329" s="60"/>
      <c r="AC329" s="157"/>
    </row>
    <row r="330" spans="2:29" ht="14.4" customHeight="1">
      <c r="B330" s="4">
        <v>452</v>
      </c>
      <c r="C330" s="38" t="s">
        <v>766</v>
      </c>
      <c r="D330" s="5" t="str">
        <f>REPLACE(C330,1,3, )</f>
        <v xml:space="preserve"> 200</v>
      </c>
      <c r="E330" s="6" t="s">
        <v>766</v>
      </c>
      <c r="F330" s="7">
        <f>IF(C330=E330,0,1)</f>
        <v>0</v>
      </c>
      <c r="G330" s="8" t="s">
        <v>20</v>
      </c>
      <c r="H330" s="8" t="s">
        <v>308</v>
      </c>
      <c r="I330" s="8" t="s">
        <v>767</v>
      </c>
      <c r="J330" s="87">
        <v>28000</v>
      </c>
      <c r="K330" s="87">
        <f>J330-M330</f>
        <v>4600</v>
      </c>
      <c r="L330" s="103" t="s">
        <v>1429</v>
      </c>
      <c r="M330" s="87">
        <f>J330-N330</f>
        <v>23400</v>
      </c>
      <c r="N330" s="87">
        <f>2000+1600+800+200</f>
        <v>4600</v>
      </c>
      <c r="O330" s="101">
        <f>M330+N330</f>
        <v>28000</v>
      </c>
      <c r="P330" s="95"/>
      <c r="Q330" s="88" t="s">
        <v>1404</v>
      </c>
      <c r="R330" s="36"/>
      <c r="S330" s="36">
        <f>R330+O330</f>
        <v>28000</v>
      </c>
      <c r="T330" s="36">
        <f>S330/0.7</f>
        <v>40000</v>
      </c>
      <c r="U330" s="40">
        <f>T330/0.875</f>
        <v>45714.285714285717</v>
      </c>
      <c r="V330" s="41">
        <f>(U330-T330)/U330</f>
        <v>0.12500000000000006</v>
      </c>
      <c r="W330" s="40">
        <f>(ROUNDUP((U330/100),0))*100</f>
        <v>45800</v>
      </c>
      <c r="X330" s="42">
        <f>(T330-O330)/T330</f>
        <v>0.3</v>
      </c>
      <c r="Y330" s="45">
        <v>47163</v>
      </c>
      <c r="Z330" s="46">
        <f>T330-Y330</f>
        <v>-7163</v>
      </c>
      <c r="AA330" s="47">
        <f>Z330/Y330</f>
        <v>-0.15187753111549307</v>
      </c>
      <c r="AB330" s="60"/>
    </row>
    <row r="331" spans="2:29" ht="14.4" customHeight="1">
      <c r="B331" s="4">
        <v>453</v>
      </c>
      <c r="C331" s="5" t="s">
        <v>211</v>
      </c>
      <c r="D331" s="5" t="str">
        <f>REPLACE(C331,1,3, )</f>
        <v xml:space="preserve"> 599</v>
      </c>
      <c r="E331" s="6" t="s">
        <v>211</v>
      </c>
      <c r="F331" s="7">
        <f>IF(C331=E331,0,1)</f>
        <v>0</v>
      </c>
      <c r="G331" s="11" t="s">
        <v>298</v>
      </c>
      <c r="H331" s="11" t="s">
        <v>308</v>
      </c>
      <c r="I331" s="11" t="s">
        <v>351</v>
      </c>
      <c r="J331" s="12">
        <v>32500</v>
      </c>
      <c r="K331" s="13">
        <f>J331-M331</f>
        <v>4800</v>
      </c>
      <c r="L331" s="7" t="s">
        <v>23</v>
      </c>
      <c r="M331" s="14">
        <f>J331-N331</f>
        <v>27700</v>
      </c>
      <c r="N331" s="15">
        <f>2000+200+600+2000</f>
        <v>4800</v>
      </c>
      <c r="O331" s="39">
        <f>M331+N331</f>
        <v>32500</v>
      </c>
      <c r="P331" s="95"/>
      <c r="Q331" s="3" t="s">
        <v>416</v>
      </c>
      <c r="R331" s="36"/>
      <c r="S331" s="36">
        <f>R331+O331</f>
        <v>32500</v>
      </c>
      <c r="T331" s="36">
        <f>S331/0.7</f>
        <v>46428.571428571435</v>
      </c>
      <c r="U331" s="40">
        <f>T331/0.875</f>
        <v>53061.224489795924</v>
      </c>
      <c r="V331" s="41">
        <f>(U331-T331)/U331</f>
        <v>0.12499999999999999</v>
      </c>
      <c r="W331" s="40">
        <f>(ROUNDUP((U331/100),0))*100</f>
        <v>53100</v>
      </c>
      <c r="X331" s="42">
        <f>(T331-O331)/T331</f>
        <v>0.3000000000000001</v>
      </c>
      <c r="Y331" s="43"/>
      <c r="Z331" s="43"/>
      <c r="AA331" s="43"/>
      <c r="AB331" s="59"/>
    </row>
    <row r="332" spans="2:29" ht="14.4" customHeight="1">
      <c r="B332" s="4">
        <v>359</v>
      </c>
      <c r="C332" s="38" t="s">
        <v>694</v>
      </c>
      <c r="D332" s="5" t="str">
        <f>REPLACE(C332,1,3, )</f>
        <v xml:space="preserve"> 867</v>
      </c>
      <c r="E332" s="6" t="s">
        <v>694</v>
      </c>
      <c r="F332" s="7">
        <f>IF(C332=E332,0,1)</f>
        <v>0</v>
      </c>
      <c r="G332" s="8" t="s">
        <v>298</v>
      </c>
      <c r="H332" s="8" t="s">
        <v>695</v>
      </c>
      <c r="I332" s="8" t="s">
        <v>691</v>
      </c>
      <c r="J332" s="12">
        <f>M332</f>
        <v>74000</v>
      </c>
      <c r="K332" s="13">
        <f>J332-M332</f>
        <v>0</v>
      </c>
      <c r="L332" s="17" t="s">
        <v>22</v>
      </c>
      <c r="M332" s="18">
        <v>74000</v>
      </c>
      <c r="N332" s="15">
        <f>2000+600+2000</f>
        <v>4600</v>
      </c>
      <c r="O332" s="39">
        <f>M332+N332</f>
        <v>78600</v>
      </c>
      <c r="P332" s="95"/>
      <c r="Q332" s="77" t="s">
        <v>1362</v>
      </c>
      <c r="R332" s="36"/>
      <c r="S332" s="36">
        <f>R332+O332</f>
        <v>78600</v>
      </c>
      <c r="T332" s="36">
        <f>S332/0.7</f>
        <v>112285.71428571429</v>
      </c>
      <c r="U332" s="40">
        <f>T332/0.875</f>
        <v>128326.5306122449</v>
      </c>
      <c r="V332" s="41">
        <f>(U332-T332)/U332</f>
        <v>0.12499999999999996</v>
      </c>
      <c r="W332" s="40">
        <f>(ROUNDUP((U332/100),0))*100</f>
        <v>128400</v>
      </c>
      <c r="X332" s="42">
        <f>(T332-O332)/T332</f>
        <v>0.30000000000000004</v>
      </c>
      <c r="Y332" s="45"/>
      <c r="Z332" s="46"/>
      <c r="AA332" s="47"/>
      <c r="AB332" s="60"/>
    </row>
    <row r="333" spans="2:29" ht="14.4" customHeight="1">
      <c r="B333" s="4">
        <v>360</v>
      </c>
      <c r="C333" s="38" t="s">
        <v>697</v>
      </c>
      <c r="D333" s="5" t="str">
        <f>REPLACE(C333,1,3, )</f>
        <v xml:space="preserve"> 925</v>
      </c>
      <c r="E333" s="6" t="s">
        <v>697</v>
      </c>
      <c r="F333" s="7">
        <f>IF(C333=E333,0,1)</f>
        <v>0</v>
      </c>
      <c r="G333" s="8" t="s">
        <v>298</v>
      </c>
      <c r="H333" s="8" t="s">
        <v>695</v>
      </c>
      <c r="I333" s="8" t="s">
        <v>691</v>
      </c>
      <c r="J333" s="12">
        <f>M333</f>
        <v>37500</v>
      </c>
      <c r="K333" s="13">
        <f>J333-M333</f>
        <v>0</v>
      </c>
      <c r="L333" s="17" t="s">
        <v>22</v>
      </c>
      <c r="M333" s="18">
        <v>37500</v>
      </c>
      <c r="N333" s="15">
        <f>2000+600+2000</f>
        <v>4600</v>
      </c>
      <c r="O333" s="39">
        <f>M333+N333</f>
        <v>42100</v>
      </c>
      <c r="P333" s="95"/>
      <c r="Q333" s="77" t="s">
        <v>1362</v>
      </c>
      <c r="R333" s="36"/>
      <c r="S333" s="36">
        <f>R333+O333</f>
        <v>42100</v>
      </c>
      <c r="T333" s="36">
        <f>S333/0.7</f>
        <v>60142.857142857145</v>
      </c>
      <c r="U333" s="40">
        <f>T333/0.875</f>
        <v>68734.693877551021</v>
      </c>
      <c r="V333" s="41">
        <f>(U333-T333)/U333</f>
        <v>0.12499999999999997</v>
      </c>
      <c r="W333" s="40">
        <f>(ROUNDUP((U333/100),0))*100</f>
        <v>68800</v>
      </c>
      <c r="X333" s="42">
        <f>(T333-O333)/T333</f>
        <v>0.30000000000000004</v>
      </c>
      <c r="Y333" s="45"/>
      <c r="Z333" s="46"/>
      <c r="AA333" s="47"/>
      <c r="AB333" s="60"/>
    </row>
    <row r="334" spans="2:29" ht="14.4" customHeight="1">
      <c r="B334" s="4">
        <v>361</v>
      </c>
      <c r="C334" s="38" t="s">
        <v>696</v>
      </c>
      <c r="D334" s="5" t="str">
        <f>REPLACE(C334,1,3, )</f>
        <v xml:space="preserve"> 639</v>
      </c>
      <c r="E334" s="6" t="s">
        <v>696</v>
      </c>
      <c r="F334" s="7">
        <f>IF(C334=E334,0,1)</f>
        <v>0</v>
      </c>
      <c r="G334" s="8" t="s">
        <v>20</v>
      </c>
      <c r="H334" s="8" t="s">
        <v>695</v>
      </c>
      <c r="I334" s="8" t="s">
        <v>691</v>
      </c>
      <c r="J334" s="12">
        <f>M334</f>
        <v>36000</v>
      </c>
      <c r="K334" s="13">
        <f>J334-M334</f>
        <v>0</v>
      </c>
      <c r="L334" s="17" t="s">
        <v>22</v>
      </c>
      <c r="M334" s="18">
        <v>36000</v>
      </c>
      <c r="N334" s="15">
        <f>2000+600+2000</f>
        <v>4600</v>
      </c>
      <c r="O334" s="39">
        <f>M334+N334</f>
        <v>40600</v>
      </c>
      <c r="P334" s="95"/>
      <c r="Q334" s="77" t="s">
        <v>1362</v>
      </c>
      <c r="R334" s="36"/>
      <c r="S334" s="36">
        <f>R334+O334</f>
        <v>40600</v>
      </c>
      <c r="T334" s="36">
        <f>S334/0.7</f>
        <v>58000.000000000007</v>
      </c>
      <c r="U334" s="40">
        <f>T334/0.875</f>
        <v>66285.71428571429</v>
      </c>
      <c r="V334" s="41">
        <f>(U334-T334)/U334</f>
        <v>0.12499999999999994</v>
      </c>
      <c r="W334" s="40">
        <f>(ROUNDUP((U334/100),0))*100</f>
        <v>66300</v>
      </c>
      <c r="X334" s="42">
        <f>(T334-O334)/T334</f>
        <v>0.3000000000000001</v>
      </c>
      <c r="Y334" s="45">
        <v>55125</v>
      </c>
      <c r="Z334" s="46">
        <f>T334-Y334</f>
        <v>2875.0000000000073</v>
      </c>
      <c r="AA334" s="47">
        <f>Z334/Y334</f>
        <v>5.2154195011338E-2</v>
      </c>
      <c r="AB334" s="60"/>
    </row>
    <row r="335" spans="2:29" ht="14.4" customHeight="1">
      <c r="B335" s="4">
        <v>356</v>
      </c>
      <c r="C335" s="38" t="s">
        <v>689</v>
      </c>
      <c r="D335" s="5" t="str">
        <f>REPLACE(C335,1,3, )</f>
        <v xml:space="preserve"> 372</v>
      </c>
      <c r="E335" s="6" t="s">
        <v>689</v>
      </c>
      <c r="F335" s="7">
        <f>IF(C335=E335,0,1)</f>
        <v>0</v>
      </c>
      <c r="G335" s="8" t="s">
        <v>20</v>
      </c>
      <c r="H335" s="8" t="s">
        <v>690</v>
      </c>
      <c r="I335" s="8" t="s">
        <v>691</v>
      </c>
      <c r="J335" s="12">
        <f>M335</f>
        <v>57000</v>
      </c>
      <c r="K335" s="13">
        <f>J335-M335</f>
        <v>0</v>
      </c>
      <c r="L335" s="17" t="s">
        <v>22</v>
      </c>
      <c r="M335" s="18">
        <v>57000</v>
      </c>
      <c r="N335" s="15">
        <f>2000+600+200+200+2000</f>
        <v>5000</v>
      </c>
      <c r="O335" s="39">
        <f>M335+N335</f>
        <v>62000</v>
      </c>
      <c r="P335" s="95"/>
      <c r="Q335" s="77" t="s">
        <v>1361</v>
      </c>
      <c r="R335" s="36"/>
      <c r="S335" s="36">
        <f>R335+O335</f>
        <v>62000</v>
      </c>
      <c r="T335" s="36">
        <f>S335/0.7</f>
        <v>88571.42857142858</v>
      </c>
      <c r="U335" s="40">
        <f>T335/0.875</f>
        <v>101224.48979591837</v>
      </c>
      <c r="V335" s="41">
        <f>(U335-T335)/U335</f>
        <v>0.12499999999999996</v>
      </c>
      <c r="W335" s="40">
        <f>(ROUNDUP((U335/100),0))*100</f>
        <v>101300</v>
      </c>
      <c r="X335" s="42">
        <f>(T335-O335)/T335</f>
        <v>0.30000000000000004</v>
      </c>
      <c r="Y335" s="45">
        <v>88550</v>
      </c>
      <c r="Z335" s="46">
        <f>T335-Y335</f>
        <v>21.428571428579744</v>
      </c>
      <c r="AA335" s="47">
        <f>Z335/Y335</f>
        <v>2.4199403081400051E-4</v>
      </c>
      <c r="AB335" s="60"/>
    </row>
    <row r="336" spans="2:29" ht="14.4" customHeight="1">
      <c r="B336" s="4">
        <v>357</v>
      </c>
      <c r="C336" s="38" t="s">
        <v>692</v>
      </c>
      <c r="D336" s="5" t="str">
        <f>REPLACE(C336,1,3, )</f>
        <v xml:space="preserve"> 596</v>
      </c>
      <c r="E336" s="6" t="s">
        <v>692</v>
      </c>
      <c r="F336" s="7">
        <f>IF(C336=E336,0,1)</f>
        <v>0</v>
      </c>
      <c r="G336" s="8" t="s">
        <v>20</v>
      </c>
      <c r="H336" s="8" t="s">
        <v>690</v>
      </c>
      <c r="I336" s="8" t="s">
        <v>691</v>
      </c>
      <c r="J336" s="12">
        <f>M336</f>
        <v>90000</v>
      </c>
      <c r="K336" s="13">
        <f>J336-M336</f>
        <v>0</v>
      </c>
      <c r="L336" s="17" t="s">
        <v>22</v>
      </c>
      <c r="M336" s="18">
        <v>90000</v>
      </c>
      <c r="N336" s="15">
        <f>2000+600+400+2000</f>
        <v>5000</v>
      </c>
      <c r="O336" s="39">
        <f>M336+N336</f>
        <v>95000</v>
      </c>
      <c r="P336" s="95"/>
      <c r="Q336" s="77" t="s">
        <v>1361</v>
      </c>
      <c r="R336" s="36"/>
      <c r="S336" s="36">
        <f>R336+O336</f>
        <v>95000</v>
      </c>
      <c r="T336" s="36">
        <f>S336/0.7</f>
        <v>135714.28571428571</v>
      </c>
      <c r="U336" s="40">
        <f>T336/0.875</f>
        <v>155102.04081632654</v>
      </c>
      <c r="V336" s="41">
        <f>(U336-T336)/U336</f>
        <v>0.12500000000000008</v>
      </c>
      <c r="W336" s="40">
        <f>(ROUNDUP((U336/100),0))*100</f>
        <v>155200</v>
      </c>
      <c r="X336" s="42">
        <f>(T336-O336)/T336</f>
        <v>0.3</v>
      </c>
      <c r="Y336" s="45">
        <v>138513</v>
      </c>
      <c r="Z336" s="46">
        <f>T336-Y336</f>
        <v>-2798.7142857142899</v>
      </c>
      <c r="AA336" s="47">
        <f>Z336/Y336</f>
        <v>-2.0205426824300172E-2</v>
      </c>
      <c r="AB336" s="60"/>
    </row>
    <row r="337" spans="2:76" ht="14.4" customHeight="1">
      <c r="B337" s="4">
        <v>358</v>
      </c>
      <c r="C337" s="38" t="s">
        <v>693</v>
      </c>
      <c r="D337" s="5" t="str">
        <f>REPLACE(C337,1,3, )</f>
        <v xml:space="preserve"> 219</v>
      </c>
      <c r="E337" s="6" t="s">
        <v>693</v>
      </c>
      <c r="F337" s="7">
        <f>IF(C337=E337,0,1)</f>
        <v>0</v>
      </c>
      <c r="G337" s="8" t="s">
        <v>20</v>
      </c>
      <c r="H337" s="8" t="s">
        <v>690</v>
      </c>
      <c r="I337" s="8" t="s">
        <v>691</v>
      </c>
      <c r="J337" s="12">
        <f>M337</f>
        <v>30000</v>
      </c>
      <c r="K337" s="13">
        <f>J337-M337</f>
        <v>0</v>
      </c>
      <c r="L337" s="17" t="s">
        <v>22</v>
      </c>
      <c r="M337" s="18">
        <v>30000</v>
      </c>
      <c r="N337" s="15">
        <f>2000+600+400+2000</f>
        <v>5000</v>
      </c>
      <c r="O337" s="39">
        <f>M337+N337</f>
        <v>35000</v>
      </c>
      <c r="P337" s="95"/>
      <c r="Q337" s="77" t="s">
        <v>1361</v>
      </c>
      <c r="R337" s="36"/>
      <c r="S337" s="36">
        <f>R337+O337</f>
        <v>35000</v>
      </c>
      <c r="T337" s="36">
        <f>S337/0.7</f>
        <v>50000</v>
      </c>
      <c r="U337" s="40">
        <f>T337/0.875</f>
        <v>57142.857142857145</v>
      </c>
      <c r="V337" s="41">
        <f>(U337-T337)/U337</f>
        <v>0.12500000000000003</v>
      </c>
      <c r="W337" s="40">
        <f>(ROUNDUP((U337/100),0))*100</f>
        <v>57200</v>
      </c>
      <c r="X337" s="42">
        <f>(T337-O337)/T337</f>
        <v>0.3</v>
      </c>
      <c r="Y337" s="45">
        <v>51363</v>
      </c>
      <c r="Z337" s="46">
        <f>T337-Y337</f>
        <v>-1363</v>
      </c>
      <c r="AA337" s="47">
        <f>Z337/Y337</f>
        <v>-2.6536611958024259E-2</v>
      </c>
      <c r="AB337" s="60"/>
    </row>
    <row r="338" spans="2:76" ht="14.4" customHeight="1">
      <c r="B338" s="4">
        <v>350</v>
      </c>
      <c r="C338" s="38" t="s">
        <v>684</v>
      </c>
      <c r="D338" s="5" t="str">
        <f>REPLACE(C338,1,3, )</f>
        <v xml:space="preserve"> 246</v>
      </c>
      <c r="E338" s="6" t="s">
        <v>684</v>
      </c>
      <c r="F338" s="7">
        <f>IF(C338=E338,0,1)</f>
        <v>0</v>
      </c>
      <c r="G338" s="8" t="s">
        <v>20</v>
      </c>
      <c r="H338" s="8" t="s">
        <v>299</v>
      </c>
      <c r="I338" s="8" t="s">
        <v>491</v>
      </c>
      <c r="J338" s="12"/>
      <c r="K338" s="13">
        <f>J338-M338</f>
        <v>0</v>
      </c>
      <c r="L338" s="7"/>
      <c r="M338" s="14">
        <f>J338-N338</f>
        <v>0</v>
      </c>
      <c r="N338" s="15"/>
      <c r="O338" s="39">
        <f>M338+N338</f>
        <v>0</v>
      </c>
      <c r="P338" s="95"/>
      <c r="Q338" s="3"/>
      <c r="R338" s="36"/>
      <c r="S338" s="36">
        <f>R338+O338</f>
        <v>0</v>
      </c>
      <c r="T338" s="36">
        <f>S338/0.7</f>
        <v>0</v>
      </c>
      <c r="U338" s="40">
        <f>T338/0.875</f>
        <v>0</v>
      </c>
      <c r="V338" s="41" t="e">
        <f>(U338-T338)/U338</f>
        <v>#DIV/0!</v>
      </c>
      <c r="W338" s="40">
        <f>(ROUNDUP((U338/100),0))*100</f>
        <v>0</v>
      </c>
      <c r="X338" s="42" t="e">
        <f>(T338-O338)/T338</f>
        <v>#DIV/0!</v>
      </c>
      <c r="Y338" s="45">
        <v>145775</v>
      </c>
      <c r="Z338" s="46">
        <f>T338-Y338</f>
        <v>-145775</v>
      </c>
      <c r="AA338" s="47">
        <f>Z338/Y338</f>
        <v>-1</v>
      </c>
      <c r="AB338" s="60"/>
    </row>
    <row r="339" spans="2:76" ht="14.4" customHeight="1">
      <c r="B339" s="4">
        <v>365</v>
      </c>
      <c r="C339" s="5" t="s">
        <v>94</v>
      </c>
      <c r="D339" s="5" t="str">
        <f>REPLACE(C339,1,3, )</f>
        <v xml:space="preserve"> 878</v>
      </c>
      <c r="E339" s="6" t="s">
        <v>94</v>
      </c>
      <c r="F339" s="7">
        <f>IF(C339=E339,0,1)</f>
        <v>0</v>
      </c>
      <c r="G339" s="11" t="s">
        <v>20</v>
      </c>
      <c r="H339" s="11" t="s">
        <v>299</v>
      </c>
      <c r="I339" s="11" t="s">
        <v>366</v>
      </c>
      <c r="J339" s="12">
        <f>M339</f>
        <v>80000</v>
      </c>
      <c r="K339" s="13">
        <f>J339-M339</f>
        <v>0</v>
      </c>
      <c r="L339" s="17" t="s">
        <v>22</v>
      </c>
      <c r="M339" s="18">
        <v>80000</v>
      </c>
      <c r="N339" s="15">
        <f>2000+200+600+750+3000</f>
        <v>6550</v>
      </c>
      <c r="O339" s="39">
        <f>M339+N339</f>
        <v>86550</v>
      </c>
      <c r="P339" s="95"/>
      <c r="Q339" s="3" t="s">
        <v>460</v>
      </c>
      <c r="R339" s="36"/>
      <c r="S339" s="36">
        <f>R339+O339</f>
        <v>86550</v>
      </c>
      <c r="T339" s="36">
        <f>S339/0.7</f>
        <v>123642.85714285714</v>
      </c>
      <c r="U339" s="40">
        <f>T339/0.875</f>
        <v>141306.12244897959</v>
      </c>
      <c r="V339" s="41">
        <f>(U339-T339)/U339</f>
        <v>0.12499999999999994</v>
      </c>
      <c r="W339" s="40">
        <f>(ROUNDUP((U339/100),0))*100</f>
        <v>141400</v>
      </c>
      <c r="X339" s="42">
        <f>(T339-O339)/T339</f>
        <v>0.3</v>
      </c>
      <c r="Y339" s="45">
        <v>124513</v>
      </c>
      <c r="Z339" s="46">
        <f>T339-Y339</f>
        <v>-870.14285714285506</v>
      </c>
      <c r="AA339" s="47">
        <f>Z339/Y339</f>
        <v>-6.9883695448897309E-3</v>
      </c>
      <c r="AB339" s="60"/>
    </row>
    <row r="340" spans="2:76" ht="14.4" customHeight="1">
      <c r="B340" s="4">
        <v>367</v>
      </c>
      <c r="C340" s="5" t="s">
        <v>95</v>
      </c>
      <c r="D340" s="5" t="str">
        <f>REPLACE(C340,1,3, )</f>
        <v xml:space="preserve"> 853</v>
      </c>
      <c r="E340" s="6" t="s">
        <v>95</v>
      </c>
      <c r="F340" s="7">
        <f>IF(C340=E340,0,1)</f>
        <v>0</v>
      </c>
      <c r="G340" s="7" t="s">
        <v>20</v>
      </c>
      <c r="H340" s="11" t="s">
        <v>299</v>
      </c>
      <c r="I340" s="11" t="s">
        <v>328</v>
      </c>
      <c r="J340" s="12">
        <v>93000</v>
      </c>
      <c r="K340" s="13">
        <f>J340-M340</f>
        <v>6950</v>
      </c>
      <c r="L340" s="7" t="s">
        <v>23</v>
      </c>
      <c r="M340" s="14">
        <f>J340-N340</f>
        <v>86050</v>
      </c>
      <c r="N340" s="14">
        <f>2000+200+600+750+3000+400</f>
        <v>6950</v>
      </c>
      <c r="O340" s="39">
        <f>M340+N340</f>
        <v>93000</v>
      </c>
      <c r="P340" s="95"/>
      <c r="Q340" s="3" t="s">
        <v>467</v>
      </c>
      <c r="R340" s="36"/>
      <c r="S340" s="36">
        <f>R340+O340</f>
        <v>93000</v>
      </c>
      <c r="T340" s="36">
        <f>S340/0.7</f>
        <v>132857.14285714287</v>
      </c>
      <c r="U340" s="40">
        <f>T340/0.875</f>
        <v>151836.73469387757</v>
      </c>
      <c r="V340" s="41">
        <f>(U340-T340)/U340</f>
        <v>0.12500000000000006</v>
      </c>
      <c r="W340" s="40">
        <f>(ROUNDUP((U340/100),0))*100</f>
        <v>151900</v>
      </c>
      <c r="X340" s="42">
        <f>(T340-O340)/T340</f>
        <v>0.30000000000000004</v>
      </c>
      <c r="Y340" s="45">
        <v>131513</v>
      </c>
      <c r="Z340" s="46">
        <f>T340-Y340</f>
        <v>1344.1428571428696</v>
      </c>
      <c r="AA340" s="47">
        <f>Z340/Y340</f>
        <v>1.0220608283157328E-2</v>
      </c>
      <c r="AB340" s="60"/>
    </row>
    <row r="341" spans="2:76" ht="14.4" customHeight="1">
      <c r="B341" s="4">
        <v>368</v>
      </c>
      <c r="C341" s="38" t="s">
        <v>1196</v>
      </c>
      <c r="D341" s="5" t="str">
        <f>REPLACE(C341,1,3, )</f>
        <v xml:space="preserve"> 198</v>
      </c>
      <c r="E341" s="6" t="s">
        <v>1196</v>
      </c>
      <c r="F341" s="7">
        <f>IF(C341=E341,0,1)</f>
        <v>0</v>
      </c>
      <c r="G341" s="8" t="s">
        <v>298</v>
      </c>
      <c r="H341" s="8" t="s">
        <v>299</v>
      </c>
      <c r="I341" s="8" t="s">
        <v>704</v>
      </c>
      <c r="J341" s="12"/>
      <c r="K341" s="13">
        <f>J341-M341</f>
        <v>0</v>
      </c>
      <c r="L341" s="7"/>
      <c r="M341" s="14">
        <f>J341-N341</f>
        <v>0</v>
      </c>
      <c r="N341" s="14"/>
      <c r="O341" s="39">
        <f>M341+N341</f>
        <v>0</v>
      </c>
      <c r="P341" s="94"/>
      <c r="Q341" s="3"/>
      <c r="R341" s="36"/>
      <c r="S341" s="36">
        <f>R341+O341</f>
        <v>0</v>
      </c>
      <c r="T341" s="36">
        <f>S341/0.7</f>
        <v>0</v>
      </c>
      <c r="U341" s="40">
        <f>T341/0.875</f>
        <v>0</v>
      </c>
      <c r="V341" s="41" t="e">
        <f>(U341-T341)/U341</f>
        <v>#DIV/0!</v>
      </c>
      <c r="W341" s="40">
        <f>(ROUNDUP((U341/100),0))*100</f>
        <v>0</v>
      </c>
      <c r="X341" s="42" t="e">
        <f>(T341-O341)/T341</f>
        <v>#DIV/0!</v>
      </c>
      <c r="Y341" s="43"/>
      <c r="Z341" s="43"/>
      <c r="AA341" s="43"/>
      <c r="AB341" s="59"/>
    </row>
    <row r="342" spans="2:76" ht="14.4" customHeight="1">
      <c r="B342" s="4">
        <v>369</v>
      </c>
      <c r="C342" s="49" t="s">
        <v>121</v>
      </c>
      <c r="D342" s="5" t="str">
        <f>REPLACE(C342,1,3, )</f>
        <v xml:space="preserve"> 249</v>
      </c>
      <c r="E342" s="49" t="s">
        <v>121</v>
      </c>
      <c r="F342" s="7">
        <f>IF(C342=E342,0,1)</f>
        <v>0</v>
      </c>
      <c r="G342" s="11" t="s">
        <v>298</v>
      </c>
      <c r="H342" s="11" t="s">
        <v>299</v>
      </c>
      <c r="I342" s="11" t="s">
        <v>328</v>
      </c>
      <c r="J342" s="12">
        <v>93000</v>
      </c>
      <c r="K342" s="13">
        <f>J342-M342</f>
        <v>6950</v>
      </c>
      <c r="L342" s="7" t="s">
        <v>23</v>
      </c>
      <c r="M342" s="14">
        <f>J342-N342</f>
        <v>86050</v>
      </c>
      <c r="N342" s="14">
        <f>2000+200+600+750+3000+400</f>
        <v>6950</v>
      </c>
      <c r="O342" s="39">
        <f>M342+N342</f>
        <v>93000</v>
      </c>
      <c r="P342" s="94"/>
      <c r="Q342" s="3" t="s">
        <v>467</v>
      </c>
      <c r="R342" s="36"/>
      <c r="S342" s="36">
        <f>R342+O342</f>
        <v>93000</v>
      </c>
      <c r="T342" s="36">
        <f>S342/0.7</f>
        <v>132857.14285714287</v>
      </c>
      <c r="U342" s="40">
        <f>T342/0.875</f>
        <v>151836.73469387757</v>
      </c>
      <c r="V342" s="41">
        <f>(U342-T342)/U342</f>
        <v>0.12500000000000006</v>
      </c>
      <c r="W342" s="40">
        <f>(ROUNDUP((U342/100),0))*100</f>
        <v>151900</v>
      </c>
      <c r="X342" s="42">
        <f>(T342-O342)/T342</f>
        <v>0.30000000000000004</v>
      </c>
      <c r="Y342" s="43"/>
      <c r="Z342" s="43"/>
      <c r="AA342" s="43"/>
      <c r="AB342" s="59"/>
    </row>
    <row r="343" spans="2:76" ht="14.4" customHeight="1">
      <c r="B343" s="4">
        <v>370</v>
      </c>
      <c r="C343" s="5" t="s">
        <v>1344</v>
      </c>
      <c r="D343" s="5" t="str">
        <f>REPLACE(C343,1,3, )</f>
        <v xml:space="preserve"> 547</v>
      </c>
      <c r="E343" s="6" t="s">
        <v>1344</v>
      </c>
      <c r="F343" s="7">
        <f>IF(C343=E343,0,1)</f>
        <v>0</v>
      </c>
      <c r="G343" s="11" t="s">
        <v>298</v>
      </c>
      <c r="H343" s="11" t="s">
        <v>299</v>
      </c>
      <c r="I343" s="11" t="s">
        <v>366</v>
      </c>
      <c r="J343" s="12">
        <f>M343</f>
        <v>80000</v>
      </c>
      <c r="K343" s="13">
        <f>J343-M343</f>
        <v>0</v>
      </c>
      <c r="L343" s="17" t="s">
        <v>22</v>
      </c>
      <c r="M343" s="18">
        <v>80000</v>
      </c>
      <c r="N343" s="15">
        <f>2000+200+600+750+3000</f>
        <v>6550</v>
      </c>
      <c r="O343" s="39">
        <f>M343+N343</f>
        <v>86550</v>
      </c>
      <c r="P343" s="96"/>
      <c r="Q343" s="3" t="s">
        <v>460</v>
      </c>
      <c r="R343" s="36"/>
      <c r="S343" s="36">
        <f>R343+O343</f>
        <v>86550</v>
      </c>
      <c r="T343" s="36">
        <f>S343/0.7</f>
        <v>123642.85714285714</v>
      </c>
      <c r="U343" s="40">
        <f>T343/0.875</f>
        <v>141306.12244897959</v>
      </c>
      <c r="V343" s="41">
        <f>(U343-T343)/U343</f>
        <v>0.12499999999999994</v>
      </c>
      <c r="W343" s="40">
        <f>(ROUNDUP((U343/100),0))*100</f>
        <v>141400</v>
      </c>
      <c r="X343" s="42">
        <f>(T343-O343)/T343</f>
        <v>0.3</v>
      </c>
      <c r="Y343" s="43"/>
      <c r="Z343" s="43"/>
      <c r="AA343" s="44"/>
      <c r="AB343" s="60"/>
    </row>
    <row r="344" spans="2:76" ht="14.4" customHeight="1">
      <c r="B344" s="4">
        <v>371</v>
      </c>
      <c r="C344" s="5" t="s">
        <v>196</v>
      </c>
      <c r="D344" s="5" t="str">
        <f>REPLACE(C344,1,3, )</f>
        <v xml:space="preserve"> 224</v>
      </c>
      <c r="E344" s="6" t="s">
        <v>196</v>
      </c>
      <c r="F344" s="7">
        <f>IF(C344=E344,0,1)</f>
        <v>0</v>
      </c>
      <c r="G344" s="11" t="s">
        <v>298</v>
      </c>
      <c r="H344" s="11" t="s">
        <v>299</v>
      </c>
      <c r="I344" s="11" t="s">
        <v>347</v>
      </c>
      <c r="J344" s="12">
        <v>100000</v>
      </c>
      <c r="K344" s="13">
        <f>J344-M344</f>
        <v>6950</v>
      </c>
      <c r="L344" s="7" t="s">
        <v>23</v>
      </c>
      <c r="M344" s="14">
        <f>J344-N344</f>
        <v>93050</v>
      </c>
      <c r="N344" s="15">
        <f>2000+200+600+750+3000+400</f>
        <v>6950</v>
      </c>
      <c r="O344" s="39">
        <f>M344+N344</f>
        <v>100000</v>
      </c>
      <c r="P344" s="95"/>
      <c r="Q344" s="3" t="s">
        <v>409</v>
      </c>
      <c r="R344" s="36"/>
      <c r="S344" s="36">
        <f>R344+O344</f>
        <v>100000</v>
      </c>
      <c r="T344" s="36">
        <f>S344/0.7</f>
        <v>142857.14285714287</v>
      </c>
      <c r="U344" s="40">
        <f>T344/0.875</f>
        <v>163265.30612244899</v>
      </c>
      <c r="V344" s="41">
        <f>(U344-T344)/U344</f>
        <v>0.125</v>
      </c>
      <c r="W344" s="40">
        <f>(ROUNDUP((U344/100),0))*100</f>
        <v>163300</v>
      </c>
      <c r="X344" s="42">
        <f>(T344-O344)/T344</f>
        <v>0.30000000000000004</v>
      </c>
      <c r="Y344" s="43"/>
      <c r="Z344" s="43"/>
      <c r="AA344" s="44"/>
      <c r="AB344" s="60"/>
    </row>
    <row r="345" spans="2:76" ht="14.4" customHeight="1">
      <c r="B345" s="4">
        <v>372</v>
      </c>
      <c r="C345" s="38" t="s">
        <v>705</v>
      </c>
      <c r="D345" s="5" t="str">
        <f>REPLACE(C345,1,3, )</f>
        <v xml:space="preserve"> 972</v>
      </c>
      <c r="E345" s="6" t="s">
        <v>705</v>
      </c>
      <c r="F345" s="7">
        <f>IF(C345=E345,0,1)</f>
        <v>0</v>
      </c>
      <c r="G345" s="8" t="s">
        <v>20</v>
      </c>
      <c r="H345" s="8" t="s">
        <v>299</v>
      </c>
      <c r="I345" s="8" t="s">
        <v>699</v>
      </c>
      <c r="J345" s="12">
        <f>M345</f>
        <v>86000</v>
      </c>
      <c r="K345" s="183">
        <f>J345-M345</f>
        <v>0</v>
      </c>
      <c r="L345" s="17" t="s">
        <v>22</v>
      </c>
      <c r="M345" s="18">
        <v>86000</v>
      </c>
      <c r="N345" s="15">
        <f>2000+200+750+600+3000</f>
        <v>6550</v>
      </c>
      <c r="O345" s="39">
        <f>M345+N345</f>
        <v>92550</v>
      </c>
      <c r="P345" s="95"/>
      <c r="Q345" s="77" t="s">
        <v>1542</v>
      </c>
      <c r="R345" s="36"/>
      <c r="S345" s="36">
        <f>R345+O345</f>
        <v>92550</v>
      </c>
      <c r="T345" s="36">
        <f>S345/0.7</f>
        <v>132214.28571428571</v>
      </c>
      <c r="U345" s="40">
        <f>T345/0.875</f>
        <v>151102.04081632654</v>
      </c>
      <c r="V345" s="41">
        <f>(U345-T345)/U345</f>
        <v>0.12500000000000008</v>
      </c>
      <c r="W345" s="40">
        <f>(ROUNDUP((U345/100),0))*100</f>
        <v>151200</v>
      </c>
      <c r="X345" s="42">
        <f>(T345-O345)/T345</f>
        <v>0.3</v>
      </c>
      <c r="Y345" s="45">
        <v>132300</v>
      </c>
      <c r="Z345" s="46">
        <f>T345-Y345</f>
        <v>-85.714285714289872</v>
      </c>
      <c r="AA345" s="47">
        <f>Z345/Y345</f>
        <v>-6.4787819889863851E-4</v>
      </c>
      <c r="AB345" s="60"/>
    </row>
    <row r="346" spans="2:76" ht="14.4" customHeight="1">
      <c r="B346" s="4">
        <v>373</v>
      </c>
      <c r="C346" s="5" t="s">
        <v>122</v>
      </c>
      <c r="D346" s="5" t="str">
        <f>REPLACE(C346,1,3, )</f>
        <v xml:space="preserve"> 967</v>
      </c>
      <c r="E346" s="6" t="s">
        <v>122</v>
      </c>
      <c r="F346" s="7">
        <f>IF(C346=E346,0,1)</f>
        <v>0</v>
      </c>
      <c r="G346" s="7" t="s">
        <v>298</v>
      </c>
      <c r="H346" s="8" t="s">
        <v>299</v>
      </c>
      <c r="I346" s="11" t="s">
        <v>328</v>
      </c>
      <c r="J346" s="19">
        <v>93000</v>
      </c>
      <c r="K346" s="13">
        <f>J346-M346</f>
        <v>6950</v>
      </c>
      <c r="L346" s="7" t="s">
        <v>23</v>
      </c>
      <c r="M346" s="14">
        <f>J346-N346</f>
        <v>86050</v>
      </c>
      <c r="N346" s="14">
        <f>2000+200+600+750+3000+400</f>
        <v>6950</v>
      </c>
      <c r="O346" s="39">
        <f>M346+N346</f>
        <v>93000</v>
      </c>
      <c r="P346" s="94"/>
      <c r="Q346" s="3" t="s">
        <v>467</v>
      </c>
      <c r="R346" s="36"/>
      <c r="S346" s="36">
        <f>R346+O346</f>
        <v>93000</v>
      </c>
      <c r="T346" s="36">
        <f>S346/0.7</f>
        <v>132857.14285714287</v>
      </c>
      <c r="U346" s="40">
        <f>T346/0.875</f>
        <v>151836.73469387757</v>
      </c>
      <c r="V346" s="41">
        <f>(U346-T346)/U346</f>
        <v>0.12500000000000006</v>
      </c>
      <c r="W346" s="40">
        <f>(ROUNDUP((U346/100),0))*100</f>
        <v>151900</v>
      </c>
      <c r="X346" s="42">
        <f>(T346-O346)/T346</f>
        <v>0.30000000000000004</v>
      </c>
      <c r="Y346" s="43"/>
      <c r="Z346" s="43"/>
      <c r="AA346" s="43"/>
      <c r="AB346" s="59"/>
      <c r="AC346" s="125"/>
      <c r="AD346" s="123"/>
      <c r="AE346" s="123"/>
      <c r="AF346" s="126"/>
      <c r="AG346" s="125"/>
      <c r="AH346" s="123"/>
      <c r="AI346" s="123"/>
      <c r="AJ346" s="127"/>
      <c r="AK346" s="123"/>
      <c r="AL346" s="125"/>
      <c r="AM346" s="127"/>
      <c r="AN346" s="123"/>
      <c r="AO346" s="123"/>
      <c r="AP346" s="125"/>
      <c r="AQ346" s="127"/>
      <c r="AR346" s="123"/>
      <c r="AS346" s="123"/>
      <c r="AT346" s="125"/>
      <c r="AU346" s="127"/>
      <c r="AV346" s="123"/>
      <c r="AW346" s="125"/>
      <c r="AX346" s="123"/>
      <c r="AY346" s="127"/>
      <c r="AZ346" s="123"/>
      <c r="BA346" s="125"/>
      <c r="BB346" s="123"/>
      <c r="BC346" s="127"/>
      <c r="BD346" s="123"/>
      <c r="BE346" s="125"/>
      <c r="BF346" s="123"/>
      <c r="BG346" s="127"/>
      <c r="BH346" s="123"/>
      <c r="BI346" s="125"/>
      <c r="BJ346" s="123"/>
      <c r="BK346" s="127"/>
      <c r="BL346" s="123"/>
      <c r="BM346" s="125"/>
      <c r="BN346" s="123"/>
      <c r="BO346" s="139"/>
      <c r="BP346" s="139"/>
      <c r="BQ346" s="140"/>
      <c r="BR346" s="139"/>
      <c r="BS346" s="139"/>
      <c r="BT346" s="139"/>
      <c r="BU346" s="140"/>
      <c r="BV346" s="139"/>
      <c r="BW346" s="139"/>
      <c r="BX346" s="31"/>
    </row>
    <row r="347" spans="2:76" ht="14.4" customHeight="1">
      <c r="B347" s="4">
        <v>362</v>
      </c>
      <c r="C347" s="38" t="s">
        <v>698</v>
      </c>
      <c r="D347" s="5" t="str">
        <f>REPLACE(C347,1,3, )</f>
        <v xml:space="preserve"> 883</v>
      </c>
      <c r="E347" s="6" t="s">
        <v>698</v>
      </c>
      <c r="F347" s="7">
        <f>IF(C347=E347,0,1)</f>
        <v>0</v>
      </c>
      <c r="G347" s="8" t="s">
        <v>298</v>
      </c>
      <c r="H347" s="8" t="s">
        <v>701</v>
      </c>
      <c r="I347" s="8" t="s">
        <v>699</v>
      </c>
      <c r="J347" s="12">
        <f>M347</f>
        <v>89000</v>
      </c>
      <c r="K347" s="183">
        <f>J347-M347</f>
        <v>0</v>
      </c>
      <c r="L347" s="17" t="s">
        <v>22</v>
      </c>
      <c r="M347" s="18">
        <v>89000</v>
      </c>
      <c r="N347" s="15">
        <f>2000+200+750+600+3000</f>
        <v>6550</v>
      </c>
      <c r="O347" s="39">
        <f>M347+N347</f>
        <v>95550</v>
      </c>
      <c r="P347" s="95"/>
      <c r="Q347" s="77" t="s">
        <v>1542</v>
      </c>
      <c r="R347" s="36"/>
      <c r="S347" s="36">
        <f>R347+O347</f>
        <v>95550</v>
      </c>
      <c r="T347" s="36">
        <f>S347/0.7</f>
        <v>136500</v>
      </c>
      <c r="U347" s="40">
        <f>T347/0.875</f>
        <v>156000</v>
      </c>
      <c r="V347" s="41">
        <f>(U347-T347)/U347</f>
        <v>0.125</v>
      </c>
      <c r="W347" s="40">
        <f>(ROUNDUP((U347/100),0))*100</f>
        <v>156000</v>
      </c>
      <c r="X347" s="42">
        <f>(T347-O347)/T347</f>
        <v>0.3</v>
      </c>
      <c r="Y347" s="45"/>
      <c r="Z347" s="46"/>
      <c r="AA347" s="47"/>
      <c r="AB347" s="60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  <c r="BR347" s="31"/>
      <c r="BS347" s="31"/>
      <c r="BT347" s="31"/>
      <c r="BU347" s="31"/>
      <c r="BV347" s="31"/>
      <c r="BW347" s="31"/>
      <c r="BX347" s="31"/>
    </row>
    <row r="348" spans="2:76" ht="14.4" customHeight="1">
      <c r="B348" s="4">
        <v>363</v>
      </c>
      <c r="C348" s="38" t="s">
        <v>703</v>
      </c>
      <c r="D348" s="5" t="str">
        <f>REPLACE(C348,1,3, )</f>
        <v xml:space="preserve"> 860</v>
      </c>
      <c r="E348" s="6" t="s">
        <v>703</v>
      </c>
      <c r="F348" s="7">
        <f>IF(C348=E348,0,1)</f>
        <v>0</v>
      </c>
      <c r="G348" s="8" t="s">
        <v>298</v>
      </c>
      <c r="H348" s="8" t="s">
        <v>701</v>
      </c>
      <c r="I348" s="8" t="s">
        <v>704</v>
      </c>
      <c r="J348" s="12"/>
      <c r="K348" s="13">
        <f>J348-M348</f>
        <v>0</v>
      </c>
      <c r="L348" s="7"/>
      <c r="M348" s="14">
        <f>J348-N348</f>
        <v>0</v>
      </c>
      <c r="N348" s="15"/>
      <c r="O348" s="39">
        <f>M348+N348</f>
        <v>0</v>
      </c>
      <c r="P348" s="95"/>
      <c r="Q348" s="3"/>
      <c r="R348" s="36"/>
      <c r="S348" s="36">
        <f>R348+O348</f>
        <v>0</v>
      </c>
      <c r="T348" s="36">
        <f>S348/0.7</f>
        <v>0</v>
      </c>
      <c r="U348" s="40">
        <f>T348/0.875</f>
        <v>0</v>
      </c>
      <c r="V348" s="41" t="e">
        <f>(U348-T348)/U348</f>
        <v>#DIV/0!</v>
      </c>
      <c r="W348" s="40">
        <f>(ROUNDUP((U348/100),0))*100</f>
        <v>0</v>
      </c>
      <c r="X348" s="42" t="e">
        <f>(T348-O348)/T348</f>
        <v>#DIV/0!</v>
      </c>
      <c r="Y348" s="45"/>
      <c r="Z348" s="46"/>
      <c r="AA348" s="47"/>
      <c r="AB348" s="60"/>
    </row>
    <row r="349" spans="2:76" ht="14.4" customHeight="1">
      <c r="B349" s="4">
        <v>364</v>
      </c>
      <c r="C349" s="38" t="s">
        <v>700</v>
      </c>
      <c r="D349" s="5" t="str">
        <f>REPLACE(C349,1,3, )</f>
        <v xml:space="preserve"> 232</v>
      </c>
      <c r="E349" s="6" t="s">
        <v>700</v>
      </c>
      <c r="F349" s="7">
        <f>IF(C349=E349,0,1)</f>
        <v>0</v>
      </c>
      <c r="G349" s="8" t="s">
        <v>298</v>
      </c>
      <c r="H349" s="8" t="s">
        <v>701</v>
      </c>
      <c r="I349" s="8" t="s">
        <v>702</v>
      </c>
      <c r="J349" s="12"/>
      <c r="K349" s="13">
        <f>J349-M349</f>
        <v>0</v>
      </c>
      <c r="L349" s="7"/>
      <c r="M349" s="14">
        <f>J349-N349</f>
        <v>0</v>
      </c>
      <c r="N349" s="15"/>
      <c r="O349" s="39">
        <f>M349+N349</f>
        <v>0</v>
      </c>
      <c r="P349" s="95"/>
      <c r="Q349" s="3"/>
      <c r="R349" s="36"/>
      <c r="S349" s="36">
        <f>R349+O349</f>
        <v>0</v>
      </c>
      <c r="T349" s="36">
        <f>S349/0.7</f>
        <v>0</v>
      </c>
      <c r="U349" s="40">
        <f>T349/0.875</f>
        <v>0</v>
      </c>
      <c r="V349" s="41" t="e">
        <f>(U349-T349)/U349</f>
        <v>#DIV/0!</v>
      </c>
      <c r="W349" s="40">
        <f>(ROUNDUP((U349/100),0))*100</f>
        <v>0</v>
      </c>
      <c r="X349" s="42" t="e">
        <f>(T349-O349)/T349</f>
        <v>#DIV/0!</v>
      </c>
      <c r="Y349" s="45"/>
      <c r="Z349" s="46"/>
      <c r="AA349" s="47"/>
      <c r="AB349" s="60"/>
    </row>
    <row r="350" spans="2:76" ht="14.4" customHeight="1">
      <c r="B350" s="4">
        <v>366</v>
      </c>
      <c r="C350" s="5" t="s">
        <v>1193</v>
      </c>
      <c r="D350" s="5" t="str">
        <f>REPLACE(C350,1,3, )</f>
        <v xml:space="preserve"> 848</v>
      </c>
      <c r="E350" s="6" t="s">
        <v>1193</v>
      </c>
      <c r="F350" s="7">
        <f>IF(C350=E350,0,1)</f>
        <v>0</v>
      </c>
      <c r="G350" s="11" t="s">
        <v>20</v>
      </c>
      <c r="H350" s="8" t="s">
        <v>701</v>
      </c>
      <c r="I350" s="11" t="s">
        <v>699</v>
      </c>
      <c r="J350" s="12">
        <f>M350</f>
        <v>100000</v>
      </c>
      <c r="K350" s="183">
        <f>J350-M350</f>
        <v>0</v>
      </c>
      <c r="L350" s="17" t="s">
        <v>22</v>
      </c>
      <c r="M350" s="18">
        <v>100000</v>
      </c>
      <c r="N350" s="15">
        <f>2000+200+750+600+3000</f>
        <v>6550</v>
      </c>
      <c r="O350" s="39">
        <f>M350+N350</f>
        <v>106550</v>
      </c>
      <c r="P350" s="95"/>
      <c r="Q350" s="77" t="s">
        <v>1542</v>
      </c>
      <c r="R350" s="36"/>
      <c r="S350" s="36">
        <f>R350+O350</f>
        <v>106550</v>
      </c>
      <c r="T350" s="36">
        <f>S350/0.7</f>
        <v>152214.28571428571</v>
      </c>
      <c r="U350" s="40">
        <f>T350/0.875</f>
        <v>173959.18367346938</v>
      </c>
      <c r="V350" s="41">
        <f>(U350-T350)/U350</f>
        <v>0.12499999999999997</v>
      </c>
      <c r="W350" s="40">
        <f>(ROUNDUP((U350/100),0))*100</f>
        <v>174000</v>
      </c>
      <c r="X350" s="42">
        <f>(T350-O350)/T350</f>
        <v>0.3</v>
      </c>
      <c r="Y350" s="45">
        <v>152338</v>
      </c>
      <c r="Z350" s="46">
        <f>T350-Y350</f>
        <v>-123.71428571428987</v>
      </c>
      <c r="AA350" s="47">
        <f>Z350/Y350</f>
        <v>-8.1210391179016312E-4</v>
      </c>
      <c r="AB350" s="60"/>
    </row>
    <row r="351" spans="2:76" ht="14.4" customHeight="1">
      <c r="B351" s="4">
        <v>308</v>
      </c>
      <c r="C351" s="5" t="s">
        <v>220</v>
      </c>
      <c r="D351" s="5" t="str">
        <f>REPLACE(C351,1,3, )</f>
        <v xml:space="preserve"> 588</v>
      </c>
      <c r="E351" s="6" t="s">
        <v>220</v>
      </c>
      <c r="F351" s="7">
        <f>IF(C351=E351,0,1)</f>
        <v>0</v>
      </c>
      <c r="G351" s="11" t="s">
        <v>298</v>
      </c>
      <c r="H351" s="11" t="s">
        <v>303</v>
      </c>
      <c r="I351" s="11" t="s">
        <v>353</v>
      </c>
      <c r="J351" s="12">
        <v>100000</v>
      </c>
      <c r="K351" s="13">
        <f>J351-M351</f>
        <v>6800</v>
      </c>
      <c r="L351" s="7" t="s">
        <v>23</v>
      </c>
      <c r="M351" s="14">
        <f>J351-N351</f>
        <v>93200</v>
      </c>
      <c r="N351" s="15">
        <f>2000+200+350+600+650+3000</f>
        <v>6800</v>
      </c>
      <c r="O351" s="39">
        <f>M351+N351</f>
        <v>100000</v>
      </c>
      <c r="P351" s="96"/>
      <c r="Q351" s="3" t="s">
        <v>422</v>
      </c>
      <c r="R351" s="36"/>
      <c r="S351" s="36">
        <f>R351+O351</f>
        <v>100000</v>
      </c>
      <c r="T351" s="36">
        <f>S351/0.7</f>
        <v>142857.14285714287</v>
      </c>
      <c r="U351" s="40">
        <f>T351/0.875</f>
        <v>163265.30612244899</v>
      </c>
      <c r="V351" s="41">
        <f>(U351-T351)/U351</f>
        <v>0.125</v>
      </c>
      <c r="W351" s="40">
        <f>(ROUNDUP((U351/100),0))*100</f>
        <v>163300</v>
      </c>
      <c r="X351" s="42">
        <f>(T351-O351)/T351</f>
        <v>0.30000000000000004</v>
      </c>
      <c r="Y351" s="43"/>
      <c r="Z351" s="43"/>
      <c r="AA351" s="44"/>
      <c r="AB351" s="60"/>
    </row>
    <row r="352" spans="2:76" ht="14.4" customHeight="1">
      <c r="B352" s="4">
        <v>309</v>
      </c>
      <c r="C352" s="5" t="s">
        <v>244</v>
      </c>
      <c r="D352" s="5" t="str">
        <f>REPLACE(C352,1,3, )</f>
        <v xml:space="preserve"> 364</v>
      </c>
      <c r="E352" s="6" t="s">
        <v>244</v>
      </c>
      <c r="F352" s="7">
        <f>IF(C352=E352,0,1)</f>
        <v>0</v>
      </c>
      <c r="G352" s="11" t="s">
        <v>298</v>
      </c>
      <c r="H352" s="11" t="s">
        <v>303</v>
      </c>
      <c r="I352" s="11" t="s">
        <v>359</v>
      </c>
      <c r="J352" s="12">
        <f>M352</f>
        <v>88500</v>
      </c>
      <c r="K352" s="13">
        <f>J352-M352</f>
        <v>0</v>
      </c>
      <c r="L352" s="17" t="s">
        <v>22</v>
      </c>
      <c r="M352" s="18">
        <v>88500</v>
      </c>
      <c r="N352" s="15">
        <f>2000+200+350+600+3000</f>
        <v>6150</v>
      </c>
      <c r="O352" s="39">
        <f>M352+N352</f>
        <v>94650</v>
      </c>
      <c r="P352" s="95"/>
      <c r="Q352" s="3" t="s">
        <v>435</v>
      </c>
      <c r="R352" s="36"/>
      <c r="S352" s="36">
        <f>R352+O352</f>
        <v>94650</v>
      </c>
      <c r="T352" s="36">
        <f>S352/0.7</f>
        <v>135214.28571428571</v>
      </c>
      <c r="U352" s="40">
        <f>T352/0.875</f>
        <v>154530.61224489796</v>
      </c>
      <c r="V352" s="41">
        <f>(U352-T352)/U352</f>
        <v>0.12500000000000003</v>
      </c>
      <c r="W352" s="40">
        <f>(ROUNDUP((U352/100),0))*100</f>
        <v>154600</v>
      </c>
      <c r="X352" s="42">
        <f>(T352-O352)/T352</f>
        <v>0.3</v>
      </c>
      <c r="Y352" s="43"/>
      <c r="Z352" s="43"/>
      <c r="AA352" s="43"/>
      <c r="AB352" s="59"/>
    </row>
    <row r="353" spans="2:28" ht="14.4" customHeight="1">
      <c r="B353" s="4">
        <v>310</v>
      </c>
      <c r="C353" s="5" t="s">
        <v>43</v>
      </c>
      <c r="D353" s="5" t="str">
        <f>REPLACE(C353,1,3, )</f>
        <v xml:space="preserve"> 722</v>
      </c>
      <c r="E353" s="6" t="s">
        <v>43</v>
      </c>
      <c r="F353" s="7">
        <f>IF(C353=E353,0,1)</f>
        <v>0</v>
      </c>
      <c r="G353" s="11" t="s">
        <v>20</v>
      </c>
      <c r="H353" s="11" t="s">
        <v>303</v>
      </c>
      <c r="I353" s="11" t="s">
        <v>359</v>
      </c>
      <c r="J353" s="12">
        <f>M353</f>
        <v>88500</v>
      </c>
      <c r="K353" s="13">
        <f>J353-M353</f>
        <v>0</v>
      </c>
      <c r="L353" s="17" t="s">
        <v>22</v>
      </c>
      <c r="M353" s="18">
        <v>88500</v>
      </c>
      <c r="N353" s="15">
        <f>2000+200+300+800+800+2850</f>
        <v>6950</v>
      </c>
      <c r="O353" s="39">
        <f>M353+N353</f>
        <v>95450</v>
      </c>
      <c r="P353" s="95"/>
      <c r="Q353" s="3" t="s">
        <v>436</v>
      </c>
      <c r="R353" s="36"/>
      <c r="S353" s="36">
        <f>R353+O353</f>
        <v>95450</v>
      </c>
      <c r="T353" s="36">
        <f>S353/0.7</f>
        <v>136357.14285714287</v>
      </c>
      <c r="U353" s="40">
        <f>T353/0.875</f>
        <v>155836.73469387757</v>
      </c>
      <c r="V353" s="41">
        <f>(U353-T353)/U353</f>
        <v>0.12500000000000006</v>
      </c>
      <c r="W353" s="40">
        <f>(ROUNDUP((U353/100),0))*100</f>
        <v>155900</v>
      </c>
      <c r="X353" s="42">
        <f>(T353-O353)/T353</f>
        <v>0.30000000000000004</v>
      </c>
      <c r="Y353" s="45">
        <v>131425</v>
      </c>
      <c r="Z353" s="46">
        <f>T353-Y353</f>
        <v>4932.1428571428696</v>
      </c>
      <c r="AA353" s="47">
        <f>Z353/Y353</f>
        <v>3.7528193700915882E-2</v>
      </c>
      <c r="AB353" s="60"/>
    </row>
    <row r="354" spans="2:28" ht="14.4" customHeight="1">
      <c r="B354" s="4">
        <v>314</v>
      </c>
      <c r="C354" s="5" t="s">
        <v>169</v>
      </c>
      <c r="D354" s="5" t="str">
        <f>REPLACE(C354,1,3, )</f>
        <v xml:space="preserve"> 838</v>
      </c>
      <c r="E354" s="6" t="s">
        <v>169</v>
      </c>
      <c r="F354" s="7">
        <f>IF(C354=E354,0,1)</f>
        <v>0</v>
      </c>
      <c r="G354" s="11" t="s">
        <v>298</v>
      </c>
      <c r="H354" s="11" t="s">
        <v>303</v>
      </c>
      <c r="I354" s="11" t="s">
        <v>339</v>
      </c>
      <c r="J354" s="12">
        <v>102000</v>
      </c>
      <c r="K354" s="13">
        <f>J354-M354</f>
        <v>6800</v>
      </c>
      <c r="L354" s="7" t="s">
        <v>23</v>
      </c>
      <c r="M354" s="14">
        <f>J354-N354</f>
        <v>95200</v>
      </c>
      <c r="N354" s="14">
        <v>6800</v>
      </c>
      <c r="O354" s="39">
        <f>M354+N354</f>
        <v>102000</v>
      </c>
      <c r="P354" s="95"/>
      <c r="Q354" s="3" t="s">
        <v>396</v>
      </c>
      <c r="R354" s="36">
        <v>5000</v>
      </c>
      <c r="S354" s="36">
        <f>R354+O354</f>
        <v>107000</v>
      </c>
      <c r="T354" s="36">
        <f>S354/0.7</f>
        <v>152857.14285714287</v>
      </c>
      <c r="U354" s="40">
        <f>T354/0.875</f>
        <v>174693.87755102041</v>
      </c>
      <c r="V354" s="41">
        <f>(U354-T354)/U354</f>
        <v>0.12499999999999996</v>
      </c>
      <c r="W354" s="40">
        <f>(ROUNDUP((U354/100),0))*100</f>
        <v>174700</v>
      </c>
      <c r="X354" s="42">
        <f>(T354-O354)/T354</f>
        <v>0.33271028037383182</v>
      </c>
      <c r="Y354" s="45"/>
      <c r="Z354" s="46"/>
      <c r="AA354" s="47"/>
      <c r="AB354" s="60"/>
    </row>
    <row r="355" spans="2:28" ht="14.4" customHeight="1">
      <c r="B355" s="4">
        <v>316</v>
      </c>
      <c r="C355" s="5" t="s">
        <v>127</v>
      </c>
      <c r="D355" s="5" t="str">
        <f>REPLACE(C355,1,3, )</f>
        <v xml:space="preserve"> 379</v>
      </c>
      <c r="E355" s="6" t="s">
        <v>127</v>
      </c>
      <c r="F355" s="7">
        <f>IF(C355=E355,0,1)</f>
        <v>0</v>
      </c>
      <c r="G355" s="7" t="s">
        <v>298</v>
      </c>
      <c r="H355" s="11" t="s">
        <v>303</v>
      </c>
      <c r="I355" s="11" t="s">
        <v>329</v>
      </c>
      <c r="J355" s="12">
        <v>103000</v>
      </c>
      <c r="K355" s="13">
        <f>J355-M355</f>
        <v>6800</v>
      </c>
      <c r="L355" s="7" t="s">
        <v>23</v>
      </c>
      <c r="M355" s="14">
        <f>J355-N355</f>
        <v>96200</v>
      </c>
      <c r="N355" s="14">
        <f>2000+200+350+600+650+3000</f>
        <v>6800</v>
      </c>
      <c r="O355" s="39">
        <f>M355+N355</f>
        <v>103000</v>
      </c>
      <c r="P355" s="95"/>
      <c r="Q355" s="3" t="s">
        <v>372</v>
      </c>
      <c r="R355" s="36">
        <v>5000</v>
      </c>
      <c r="S355" s="36">
        <f>R355+O355</f>
        <v>108000</v>
      </c>
      <c r="T355" s="36">
        <f>S355/0.7</f>
        <v>154285.71428571429</v>
      </c>
      <c r="U355" s="40">
        <f>T355/0.875</f>
        <v>176326.53061224491</v>
      </c>
      <c r="V355" s="41">
        <f>(U355-T355)/U355</f>
        <v>0.12500000000000003</v>
      </c>
      <c r="W355" s="40">
        <f>(ROUNDUP((U355/100),0))*100</f>
        <v>176400</v>
      </c>
      <c r="X355" s="42">
        <f>(T355-O355)/T355</f>
        <v>0.33240740740740743</v>
      </c>
      <c r="Y355" s="43"/>
      <c r="Z355" s="43"/>
      <c r="AA355" s="44"/>
      <c r="AB355" s="60"/>
    </row>
    <row r="356" spans="2:28" ht="14.4" customHeight="1">
      <c r="B356" s="4">
        <v>317</v>
      </c>
      <c r="C356" s="5" t="s">
        <v>44</v>
      </c>
      <c r="D356" s="5" t="str">
        <f>REPLACE(C356,1,3, )</f>
        <v xml:space="preserve"> 809</v>
      </c>
      <c r="E356" s="6" t="s">
        <v>44</v>
      </c>
      <c r="F356" s="7">
        <f>IF(C356=E356,0,1)</f>
        <v>0</v>
      </c>
      <c r="G356" s="11" t="s">
        <v>20</v>
      </c>
      <c r="H356" s="11" t="s">
        <v>303</v>
      </c>
      <c r="I356" s="11" t="s">
        <v>330</v>
      </c>
      <c r="J356" s="12">
        <v>117500</v>
      </c>
      <c r="K356" s="13">
        <f>J356-M356</f>
        <v>6900</v>
      </c>
      <c r="L356" s="7" t="s">
        <v>23</v>
      </c>
      <c r="M356" s="14">
        <f>J356-N356</f>
        <v>110600</v>
      </c>
      <c r="N356" s="14">
        <f>2000+200+600+550+3000+550</f>
        <v>6900</v>
      </c>
      <c r="O356" s="39">
        <f>M356+N356</f>
        <v>117500</v>
      </c>
      <c r="P356" s="94"/>
      <c r="Q356" s="3" t="s">
        <v>377</v>
      </c>
      <c r="R356" s="36"/>
      <c r="S356" s="36">
        <f>R356+O356</f>
        <v>117500</v>
      </c>
      <c r="T356" s="36">
        <f>S356/0.7</f>
        <v>167857.14285714287</v>
      </c>
      <c r="U356" s="40">
        <f>T356/0.875</f>
        <v>191836.73469387757</v>
      </c>
      <c r="V356" s="41">
        <f>(U356-T356)/U356</f>
        <v>0.12500000000000003</v>
      </c>
      <c r="W356" s="40">
        <f>(ROUNDUP((U356/100),0))*100</f>
        <v>191900</v>
      </c>
      <c r="X356" s="42">
        <f>(T356-O356)/T356</f>
        <v>0.30000000000000004</v>
      </c>
      <c r="Y356" s="45">
        <v>167913</v>
      </c>
      <c r="Z356" s="46">
        <f>T356-Y356</f>
        <v>-55.857142857130384</v>
      </c>
      <c r="AA356" s="47">
        <f>Z356/Y356</f>
        <v>-3.3265526110027444E-4</v>
      </c>
      <c r="AB356" s="60"/>
    </row>
    <row r="357" spans="2:28" ht="14.4" customHeight="1">
      <c r="B357" s="4">
        <v>113</v>
      </c>
      <c r="C357" s="5" t="s">
        <v>245</v>
      </c>
      <c r="D357" s="5" t="str">
        <f>REPLACE(C357,1,3, )</f>
        <v xml:space="preserve"> 359</v>
      </c>
      <c r="E357" s="6" t="s">
        <v>245</v>
      </c>
      <c r="F357" s="7">
        <f>IF(C357=E357,0,1)</f>
        <v>0</v>
      </c>
      <c r="G357" s="11" t="s">
        <v>298</v>
      </c>
      <c r="H357" s="11" t="s">
        <v>45</v>
      </c>
      <c r="I357" s="11" t="s">
        <v>359</v>
      </c>
      <c r="J357" s="12">
        <f>M357</f>
        <v>87000</v>
      </c>
      <c r="K357" s="13">
        <f>J357-M357</f>
        <v>0</v>
      </c>
      <c r="L357" s="17" t="s">
        <v>22</v>
      </c>
      <c r="M357" s="18">
        <v>87000</v>
      </c>
      <c r="N357" s="15">
        <f>2000+200+350+600+800</f>
        <v>3950</v>
      </c>
      <c r="O357" s="39">
        <f>M357+N357</f>
        <v>90950</v>
      </c>
      <c r="P357" s="96"/>
      <c r="Q357" s="3" t="s">
        <v>427</v>
      </c>
      <c r="R357" s="36"/>
      <c r="S357" s="36">
        <f>R357+O357</f>
        <v>90950</v>
      </c>
      <c r="T357" s="36">
        <f>S357/0.7</f>
        <v>129928.57142857143</v>
      </c>
      <c r="U357" s="40">
        <f>T357/0.875</f>
        <v>148489.79591836737</v>
      </c>
      <c r="V357" s="41">
        <f>(U357-T357)/U357</f>
        <v>0.12500000000000008</v>
      </c>
      <c r="W357" s="40">
        <f>(ROUNDUP((U357/100),0))*100</f>
        <v>148500</v>
      </c>
      <c r="X357" s="42">
        <f>(T357-O357)/T357</f>
        <v>0.30000000000000004</v>
      </c>
      <c r="Y357" s="43"/>
      <c r="Z357" s="43"/>
      <c r="AA357" s="43"/>
      <c r="AB357" s="59"/>
    </row>
    <row r="358" spans="2:28" ht="14.4" customHeight="1">
      <c r="B358" s="4">
        <v>315</v>
      </c>
      <c r="C358" s="5" t="s">
        <v>243</v>
      </c>
      <c r="D358" s="5" t="str">
        <f>REPLACE(C358,1,3, )</f>
        <v xml:space="preserve"> 375</v>
      </c>
      <c r="E358" s="6" t="s">
        <v>243</v>
      </c>
      <c r="F358" s="7">
        <f>IF(C358=E358,0,1)</f>
        <v>0</v>
      </c>
      <c r="G358" s="11" t="s">
        <v>298</v>
      </c>
      <c r="H358" s="11" t="s">
        <v>45</v>
      </c>
      <c r="I358" s="11" t="s">
        <v>359</v>
      </c>
      <c r="J358" s="12">
        <f>M358</f>
        <v>101000</v>
      </c>
      <c r="K358" s="13">
        <f>J358-M358</f>
        <v>0</v>
      </c>
      <c r="L358" s="17" t="s">
        <v>22</v>
      </c>
      <c r="M358" s="16">
        <v>101000</v>
      </c>
      <c r="N358" s="15">
        <f>2000+200+350+600+300+3000</f>
        <v>6450</v>
      </c>
      <c r="O358" s="39">
        <f>M358+N358</f>
        <v>107450</v>
      </c>
      <c r="P358" s="95"/>
      <c r="Q358" s="3" t="s">
        <v>434</v>
      </c>
      <c r="R358" s="36"/>
      <c r="S358" s="36">
        <f>R358+O358</f>
        <v>107450</v>
      </c>
      <c r="T358" s="36">
        <f>S358/0.7</f>
        <v>153500</v>
      </c>
      <c r="U358" s="40">
        <f>T358/0.875</f>
        <v>175428.57142857142</v>
      </c>
      <c r="V358" s="41">
        <f>(U358-T358)/U358</f>
        <v>0.12499999999999996</v>
      </c>
      <c r="W358" s="40">
        <f>(ROUNDUP((U358/100),0))*100</f>
        <v>175500</v>
      </c>
      <c r="X358" s="42">
        <f>(T358-O358)/T358</f>
        <v>0.3</v>
      </c>
      <c r="Y358" s="43"/>
      <c r="Z358" s="43"/>
      <c r="AA358" s="43"/>
      <c r="AB358" s="59"/>
    </row>
    <row r="359" spans="2:28" ht="14.4" customHeight="1">
      <c r="B359" s="4">
        <v>320</v>
      </c>
      <c r="C359" s="38" t="s">
        <v>665</v>
      </c>
      <c r="D359" s="5" t="str">
        <f>REPLACE(C359,1,3, )</f>
        <v xml:space="preserve"> 879</v>
      </c>
      <c r="E359" s="6" t="s">
        <v>665</v>
      </c>
      <c r="F359" s="7">
        <f>IF(C359=E359,0,1)</f>
        <v>0</v>
      </c>
      <c r="G359" s="8" t="s">
        <v>298</v>
      </c>
      <c r="H359" s="8" t="s">
        <v>45</v>
      </c>
      <c r="I359" s="8" t="s">
        <v>666</v>
      </c>
      <c r="J359" s="12">
        <v>79000</v>
      </c>
      <c r="K359" s="13">
        <f>J359-M359</f>
        <v>6450</v>
      </c>
      <c r="L359" s="7" t="s">
        <v>23</v>
      </c>
      <c r="M359" s="14">
        <f>J359-N359</f>
        <v>72550</v>
      </c>
      <c r="N359" s="15">
        <f>2000+200+350+600+300+3000</f>
        <v>6450</v>
      </c>
      <c r="O359" s="39">
        <f>M359+N359</f>
        <v>79000</v>
      </c>
      <c r="P359" s="95"/>
      <c r="Q359" s="77" t="s">
        <v>1543</v>
      </c>
      <c r="R359" s="36"/>
      <c r="S359" s="36">
        <f>R359+O359</f>
        <v>79000</v>
      </c>
      <c r="T359" s="36">
        <f>S359/0.7</f>
        <v>112857.14285714287</v>
      </c>
      <c r="U359" s="40">
        <f>T359/0.875</f>
        <v>128979.5918367347</v>
      </c>
      <c r="V359" s="41">
        <f>(U359-T359)/U359</f>
        <v>0.12499999999999997</v>
      </c>
      <c r="W359" s="40">
        <f>(ROUNDUP((U359/100),0))*100</f>
        <v>129000</v>
      </c>
      <c r="X359" s="42">
        <f>(T359-O359)/T359</f>
        <v>0.3000000000000001</v>
      </c>
      <c r="Y359" s="45"/>
      <c r="Z359" s="46"/>
      <c r="AA359" s="47"/>
      <c r="AB359" s="60"/>
    </row>
    <row r="360" spans="2:28" ht="14.4" customHeight="1">
      <c r="B360" s="4">
        <v>327</v>
      </c>
      <c r="C360" s="5" t="s">
        <v>221</v>
      </c>
      <c r="D360" s="5" t="str">
        <f>REPLACE(C360,1,3, )</f>
        <v xml:space="preserve"> 405</v>
      </c>
      <c r="E360" s="6" t="s">
        <v>221</v>
      </c>
      <c r="F360" s="7">
        <f>IF(C360=E360,0,1)</f>
        <v>0</v>
      </c>
      <c r="G360" s="11" t="s">
        <v>298</v>
      </c>
      <c r="H360" s="11" t="s">
        <v>45</v>
      </c>
      <c r="I360" s="11" t="s">
        <v>353</v>
      </c>
      <c r="J360" s="12">
        <v>107500</v>
      </c>
      <c r="K360" s="13">
        <f>J360-M360</f>
        <v>6450</v>
      </c>
      <c r="L360" s="7" t="s">
        <v>23</v>
      </c>
      <c r="M360" s="14">
        <f>J360-N360</f>
        <v>101050</v>
      </c>
      <c r="N360" s="15">
        <f>2000+200+350+600+300+3000</f>
        <v>6450</v>
      </c>
      <c r="O360" s="39">
        <f>M360+N360</f>
        <v>107500</v>
      </c>
      <c r="P360" s="96"/>
      <c r="Q360" s="3" t="s">
        <v>420</v>
      </c>
      <c r="R360" s="36"/>
      <c r="S360" s="36">
        <f>R360+O360</f>
        <v>107500</v>
      </c>
      <c r="T360" s="36">
        <f>S360/0.7</f>
        <v>153571.42857142858</v>
      </c>
      <c r="U360" s="40">
        <f>T360/0.875</f>
        <v>175510.20408163266</v>
      </c>
      <c r="V360" s="41">
        <f>(U360-T360)/U360</f>
        <v>0.125</v>
      </c>
      <c r="W360" s="40">
        <f>(ROUNDUP((U360/100),0))*100</f>
        <v>175600</v>
      </c>
      <c r="X360" s="42">
        <f>(T360-O360)/T360</f>
        <v>0.30000000000000004</v>
      </c>
      <c r="Y360" s="43"/>
      <c r="Z360" s="43"/>
      <c r="AA360" s="44"/>
      <c r="AB360" s="60"/>
    </row>
    <row r="361" spans="2:28" ht="14.4" customHeight="1">
      <c r="B361" s="4">
        <v>329</v>
      </c>
      <c r="C361" s="5" t="s">
        <v>253</v>
      </c>
      <c r="D361" s="5" t="str">
        <f>REPLACE(C361,1,3, )</f>
        <v xml:space="preserve"> 711</v>
      </c>
      <c r="E361" s="6" t="s">
        <v>253</v>
      </c>
      <c r="F361" s="7">
        <f>IF(C361=E361,0,1)</f>
        <v>0</v>
      </c>
      <c r="G361" s="11" t="s">
        <v>298</v>
      </c>
      <c r="H361" s="11" t="s">
        <v>45</v>
      </c>
      <c r="I361" s="11" t="s">
        <v>359</v>
      </c>
      <c r="J361" s="12">
        <f>M361</f>
        <v>84000</v>
      </c>
      <c r="K361" s="13">
        <f>J361-M361</f>
        <v>0</v>
      </c>
      <c r="L361" s="17" t="s">
        <v>22</v>
      </c>
      <c r="M361" s="18">
        <v>84000</v>
      </c>
      <c r="N361" s="15">
        <f>2000+200+350+600+300+3000</f>
        <v>6450</v>
      </c>
      <c r="O361" s="39">
        <f>M361+N361</f>
        <v>90450</v>
      </c>
      <c r="P361" s="95"/>
      <c r="Q361" s="3" t="s">
        <v>420</v>
      </c>
      <c r="R361" s="36"/>
      <c r="S361" s="36">
        <f>R361+O361</f>
        <v>90450</v>
      </c>
      <c r="T361" s="36">
        <f>S361/0.7</f>
        <v>129214.28571428572</v>
      </c>
      <c r="U361" s="40">
        <f>T361/0.875</f>
        <v>147673.46938775512</v>
      </c>
      <c r="V361" s="41">
        <f>(U361-T361)/U361</f>
        <v>0.12500000000000003</v>
      </c>
      <c r="W361" s="40">
        <f>(ROUNDUP((U361/100),0))*100</f>
        <v>147700</v>
      </c>
      <c r="X361" s="42">
        <f>(T361-O361)/T361</f>
        <v>0.30000000000000004</v>
      </c>
      <c r="Y361" s="43"/>
      <c r="Z361" s="43"/>
      <c r="AA361" s="44"/>
      <c r="AB361" s="60"/>
    </row>
    <row r="362" spans="2:28" ht="14.4" customHeight="1">
      <c r="B362" s="4">
        <v>332</v>
      </c>
      <c r="C362" s="5" t="s">
        <v>223</v>
      </c>
      <c r="D362" s="5" t="str">
        <f>REPLACE(C362,1,3, )</f>
        <v xml:space="preserve"> 835</v>
      </c>
      <c r="E362" s="6" t="s">
        <v>223</v>
      </c>
      <c r="F362" s="7">
        <f>IF(C362=E362,0,1)</f>
        <v>0</v>
      </c>
      <c r="G362" s="11" t="s">
        <v>298</v>
      </c>
      <c r="H362" s="11" t="s">
        <v>45</v>
      </c>
      <c r="I362" s="11" t="s">
        <v>353</v>
      </c>
      <c r="J362" s="12">
        <v>105000</v>
      </c>
      <c r="K362" s="13">
        <f>J362-M362</f>
        <v>6450</v>
      </c>
      <c r="L362" s="7" t="s">
        <v>23</v>
      </c>
      <c r="M362" s="14">
        <f>J362-N362</f>
        <v>98550</v>
      </c>
      <c r="N362" s="15">
        <f>2000+200+350+600+300+3000</f>
        <v>6450</v>
      </c>
      <c r="O362" s="39">
        <f>M362+N362</f>
        <v>105000</v>
      </c>
      <c r="P362" s="96"/>
      <c r="Q362" s="3" t="s">
        <v>420</v>
      </c>
      <c r="R362" s="36"/>
      <c r="S362" s="36">
        <f>R362+O362</f>
        <v>105000</v>
      </c>
      <c r="T362" s="36">
        <f>S362/0.7</f>
        <v>150000</v>
      </c>
      <c r="U362" s="40">
        <f>T362/0.875</f>
        <v>171428.57142857142</v>
      </c>
      <c r="V362" s="41">
        <f>(U362-T362)/U362</f>
        <v>0.12499999999999996</v>
      </c>
      <c r="W362" s="40">
        <f>(ROUNDUP((U362/100),0))*100</f>
        <v>171500</v>
      </c>
      <c r="X362" s="42">
        <f>(T362-O362)/T362</f>
        <v>0.3</v>
      </c>
      <c r="Y362" s="43"/>
      <c r="Z362" s="43"/>
      <c r="AA362" s="44"/>
      <c r="AB362" s="60"/>
    </row>
    <row r="363" spans="2:28" ht="14.4" customHeight="1">
      <c r="B363" s="4">
        <v>334</v>
      </c>
      <c r="C363" s="5" t="s">
        <v>219</v>
      </c>
      <c r="D363" s="5" t="str">
        <f>REPLACE(C363,1,3, )</f>
        <v xml:space="preserve"> 579</v>
      </c>
      <c r="E363" s="6" t="s">
        <v>219</v>
      </c>
      <c r="F363" s="7">
        <f>IF(C363=E363,0,1)</f>
        <v>0</v>
      </c>
      <c r="G363" s="11" t="s">
        <v>298</v>
      </c>
      <c r="H363" s="11" t="s">
        <v>45</v>
      </c>
      <c r="I363" s="11" t="s">
        <v>353</v>
      </c>
      <c r="J363" s="12">
        <v>105000</v>
      </c>
      <c r="K363" s="13">
        <f>J363-M363</f>
        <v>6450</v>
      </c>
      <c r="L363" s="7" t="s">
        <v>23</v>
      </c>
      <c r="M363" s="14">
        <f>J363-N363</f>
        <v>98550</v>
      </c>
      <c r="N363" s="15">
        <f>2000+200+350+600+300+3000</f>
        <v>6450</v>
      </c>
      <c r="O363" s="39">
        <f>M363+N363</f>
        <v>105000</v>
      </c>
      <c r="P363" s="95"/>
      <c r="Q363" s="3" t="s">
        <v>420</v>
      </c>
      <c r="R363" s="36"/>
      <c r="S363" s="36">
        <f>R363+O363</f>
        <v>105000</v>
      </c>
      <c r="T363" s="36">
        <f>S363/0.7</f>
        <v>150000</v>
      </c>
      <c r="U363" s="40">
        <f>T363/0.875</f>
        <v>171428.57142857142</v>
      </c>
      <c r="V363" s="41">
        <f>(U363-T363)/U363</f>
        <v>0.12499999999999996</v>
      </c>
      <c r="W363" s="40">
        <f>(ROUNDUP((U363/100),0))*100</f>
        <v>171500</v>
      </c>
      <c r="X363" s="42">
        <f>(T363-O363)/T363</f>
        <v>0.3</v>
      </c>
      <c r="Y363" s="43"/>
      <c r="Z363" s="43"/>
      <c r="AA363" s="44"/>
      <c r="AB363" s="60"/>
    </row>
    <row r="364" spans="2:28" ht="14.4" customHeight="1">
      <c r="B364" s="4">
        <v>336</v>
      </c>
      <c r="C364" s="5" t="s">
        <v>222</v>
      </c>
      <c r="D364" s="5" t="str">
        <f>REPLACE(C364,1,3, )</f>
        <v xml:space="preserve"> 704</v>
      </c>
      <c r="E364" s="6" t="s">
        <v>222</v>
      </c>
      <c r="F364" s="7">
        <f>IF(C364=E364,0,1)</f>
        <v>0</v>
      </c>
      <c r="G364" s="11" t="s">
        <v>298</v>
      </c>
      <c r="H364" s="11" t="s">
        <v>45</v>
      </c>
      <c r="I364" s="11" t="s">
        <v>353</v>
      </c>
      <c r="J364" s="12">
        <v>101000</v>
      </c>
      <c r="K364" s="13">
        <f>J364-M364</f>
        <v>6450</v>
      </c>
      <c r="L364" s="7" t="s">
        <v>23</v>
      </c>
      <c r="M364" s="14">
        <f>J364-N364</f>
        <v>94550</v>
      </c>
      <c r="N364" s="15">
        <f>2000+200+350+600+300+3000</f>
        <v>6450</v>
      </c>
      <c r="O364" s="39">
        <f>M364+N364</f>
        <v>101000</v>
      </c>
      <c r="P364" s="96"/>
      <c r="Q364" s="3" t="s">
        <v>420</v>
      </c>
      <c r="R364" s="36"/>
      <c r="S364" s="36">
        <f>R364+O364</f>
        <v>101000</v>
      </c>
      <c r="T364" s="36">
        <f>S364/0.7</f>
        <v>144285.71428571429</v>
      </c>
      <c r="U364" s="40">
        <f>T364/0.875</f>
        <v>164897.95918367346</v>
      </c>
      <c r="V364" s="41">
        <f>(U364-T364)/U364</f>
        <v>0.12499999999999993</v>
      </c>
      <c r="W364" s="40">
        <f>(ROUNDUP((U364/100),0))*100</f>
        <v>164900</v>
      </c>
      <c r="X364" s="42">
        <f>(T364-O364)/T364</f>
        <v>0.30000000000000004</v>
      </c>
      <c r="Y364" s="43"/>
      <c r="Z364" s="43"/>
      <c r="AA364" s="44"/>
      <c r="AB364" s="60"/>
    </row>
    <row r="365" spans="2:28" ht="14.4" customHeight="1">
      <c r="B365" s="4">
        <v>351</v>
      </c>
      <c r="C365" s="5" t="s">
        <v>261</v>
      </c>
      <c r="D365" s="5" t="str">
        <f>REPLACE(C365,1,3, )</f>
        <v xml:space="preserve"> 227</v>
      </c>
      <c r="E365" s="6" t="s">
        <v>261</v>
      </c>
      <c r="F365" s="7">
        <f>IF(C365=E365,0,1)</f>
        <v>0</v>
      </c>
      <c r="G365" s="11" t="s">
        <v>298</v>
      </c>
      <c r="H365" s="11" t="s">
        <v>45</v>
      </c>
      <c r="I365" s="11" t="s">
        <v>362</v>
      </c>
      <c r="J365" s="12">
        <v>125000</v>
      </c>
      <c r="K365" s="13">
        <f>J365-M365</f>
        <v>6450</v>
      </c>
      <c r="L365" s="7" t="s">
        <v>23</v>
      </c>
      <c r="M365" s="14">
        <f>J365-N365</f>
        <v>118550</v>
      </c>
      <c r="N365" s="15">
        <f>300+2000+200+350+600+3000</f>
        <v>6450</v>
      </c>
      <c r="O365" s="39">
        <f>M365+N365</f>
        <v>125000</v>
      </c>
      <c r="P365" s="95"/>
      <c r="Q365" s="3" t="s">
        <v>450</v>
      </c>
      <c r="R365" s="36"/>
      <c r="S365" s="36">
        <f>R365+O365</f>
        <v>125000</v>
      </c>
      <c r="T365" s="36">
        <f>S365/0.7</f>
        <v>178571.42857142858</v>
      </c>
      <c r="U365" s="40">
        <f>T365/0.875</f>
        <v>204081.63265306124</v>
      </c>
      <c r="V365" s="41">
        <f>(U365-T365)/U365</f>
        <v>0.12500000000000003</v>
      </c>
      <c r="W365" s="40">
        <f>(ROUNDUP((U365/100),0))*100</f>
        <v>204100</v>
      </c>
      <c r="X365" s="42">
        <f>(T365-O365)/T365</f>
        <v>0.30000000000000004</v>
      </c>
      <c r="Y365" s="43"/>
      <c r="Z365" s="43"/>
      <c r="AA365" s="44"/>
      <c r="AB365" s="60"/>
    </row>
    <row r="366" spans="2:28" ht="14.4" customHeight="1">
      <c r="B366" s="4">
        <v>353</v>
      </c>
      <c r="C366" s="38" t="s">
        <v>685</v>
      </c>
      <c r="D366" s="5" t="str">
        <f>REPLACE(C366,1,3, )</f>
        <v xml:space="preserve"> 944</v>
      </c>
      <c r="E366" s="6" t="s">
        <v>685</v>
      </c>
      <c r="F366" s="7">
        <f>IF(C366=E366,0,1)</f>
        <v>0</v>
      </c>
      <c r="G366" s="8" t="s">
        <v>298</v>
      </c>
      <c r="H366" s="8" t="s">
        <v>45</v>
      </c>
      <c r="I366" s="8" t="s">
        <v>686</v>
      </c>
      <c r="J366" s="12">
        <v>103000</v>
      </c>
      <c r="K366" s="13">
        <f>J366-M366</f>
        <v>6450</v>
      </c>
      <c r="L366" s="7" t="s">
        <v>23</v>
      </c>
      <c r="M366" s="14">
        <f>J366-N366</f>
        <v>96550</v>
      </c>
      <c r="N366" s="15">
        <f>2000+200+350+600+300+3000</f>
        <v>6450</v>
      </c>
      <c r="O366" s="39">
        <f>M366+N366</f>
        <v>103000</v>
      </c>
      <c r="P366" s="95"/>
      <c r="Q366" s="77" t="s">
        <v>1371</v>
      </c>
      <c r="R366" s="36"/>
      <c r="S366" s="36">
        <f>R366+O366</f>
        <v>103000</v>
      </c>
      <c r="T366" s="36">
        <f>S366/0.7</f>
        <v>147142.85714285716</v>
      </c>
      <c r="U366" s="40">
        <f>T366/0.875</f>
        <v>168163.26530612246</v>
      </c>
      <c r="V366" s="41">
        <f>(U366-T366)/U366</f>
        <v>0.12499999999999993</v>
      </c>
      <c r="W366" s="40">
        <f>(ROUNDUP((U366/100),0))*100</f>
        <v>168200</v>
      </c>
      <c r="X366" s="42">
        <f>(T366-O366)/T366</f>
        <v>0.3000000000000001</v>
      </c>
      <c r="Y366" s="45"/>
      <c r="Z366" s="46"/>
      <c r="AA366" s="47"/>
      <c r="AB366" s="60"/>
    </row>
    <row r="367" spans="2:28" ht="14.4" customHeight="1">
      <c r="B367" s="4">
        <v>352</v>
      </c>
      <c r="C367" s="5" t="s">
        <v>49</v>
      </c>
      <c r="D367" s="5" t="str">
        <f>REPLACE(C367,1,3, )</f>
        <v xml:space="preserve"> 679</v>
      </c>
      <c r="E367" s="6" t="s">
        <v>49</v>
      </c>
      <c r="F367" s="7">
        <f>IF(C367=E367,0,1)</f>
        <v>0</v>
      </c>
      <c r="G367" s="11" t="s">
        <v>20</v>
      </c>
      <c r="H367" s="11" t="s">
        <v>474</v>
      </c>
      <c r="I367" s="11" t="s">
        <v>365</v>
      </c>
      <c r="J367" s="12"/>
      <c r="K367" s="13">
        <f>J367-M367</f>
        <v>0</v>
      </c>
      <c r="L367" s="7"/>
      <c r="M367" s="14">
        <f>J367-N367</f>
        <v>0</v>
      </c>
      <c r="N367" s="15"/>
      <c r="O367" s="39">
        <f>M367+N367</f>
        <v>0</v>
      </c>
      <c r="P367" s="95"/>
      <c r="Q367" s="3"/>
      <c r="R367" s="36"/>
      <c r="S367" s="36">
        <f>R367+O367</f>
        <v>0</v>
      </c>
      <c r="T367" s="36">
        <f>S367/0.7</f>
        <v>0</v>
      </c>
      <c r="U367" s="40">
        <f>T367/0.875</f>
        <v>0</v>
      </c>
      <c r="V367" s="41" t="e">
        <f>(U367-T367)/U367</f>
        <v>#DIV/0!</v>
      </c>
      <c r="W367" s="40">
        <f>(ROUNDUP((U367/100),0))*100</f>
        <v>0</v>
      </c>
      <c r="X367" s="42" t="e">
        <f>(T367-O367)/T367</f>
        <v>#DIV/0!</v>
      </c>
      <c r="Y367" s="45">
        <v>169663</v>
      </c>
      <c r="Z367" s="46">
        <f>T367-Y367</f>
        <v>-169663</v>
      </c>
      <c r="AA367" s="47">
        <f>Z367/Y367</f>
        <v>-1</v>
      </c>
      <c r="AB367" s="60"/>
    </row>
    <row r="368" spans="2:28" ht="14.4" customHeight="1">
      <c r="B368" s="4">
        <v>347</v>
      </c>
      <c r="C368" s="5" t="s">
        <v>168</v>
      </c>
      <c r="D368" s="5" t="str">
        <f>REPLACE(C368,1,3, )</f>
        <v xml:space="preserve"> 570</v>
      </c>
      <c r="E368" s="6" t="s">
        <v>168</v>
      </c>
      <c r="F368" s="7">
        <f>IF(C368=E368,0,1)</f>
        <v>0</v>
      </c>
      <c r="G368" s="11" t="s">
        <v>298</v>
      </c>
      <c r="H368" s="11" t="s">
        <v>310</v>
      </c>
      <c r="I368" s="11" t="s">
        <v>339</v>
      </c>
      <c r="J368" s="12">
        <v>97500</v>
      </c>
      <c r="K368" s="13">
        <f>J368-M368</f>
        <v>6150</v>
      </c>
      <c r="L368" s="7" t="s">
        <v>23</v>
      </c>
      <c r="M368" s="14">
        <f>J368-N368</f>
        <v>91350</v>
      </c>
      <c r="N368" s="14">
        <v>6150</v>
      </c>
      <c r="O368" s="39">
        <f>M368+N368</f>
        <v>97500</v>
      </c>
      <c r="P368" s="95"/>
      <c r="Q368" s="3" t="s">
        <v>395</v>
      </c>
      <c r="R368" s="36"/>
      <c r="S368" s="36">
        <f>R368+O368</f>
        <v>97500</v>
      </c>
      <c r="T368" s="36">
        <f>S368/0.7</f>
        <v>139285.71428571429</v>
      </c>
      <c r="U368" s="40">
        <f>T368/0.875</f>
        <v>159183.67346938775</v>
      </c>
      <c r="V368" s="41">
        <f>(U368-T368)/U368</f>
        <v>0.12499999999999996</v>
      </c>
      <c r="W368" s="40">
        <f>(ROUNDUP((U368/100),0))*100</f>
        <v>159200</v>
      </c>
      <c r="X368" s="42">
        <f>(T368-O368)/T368</f>
        <v>0.30000000000000004</v>
      </c>
      <c r="Y368" s="43"/>
      <c r="Z368" s="43"/>
      <c r="AA368" s="43"/>
      <c r="AB368" s="59"/>
    </row>
    <row r="369" spans="2:28" ht="14.4" customHeight="1">
      <c r="B369" s="4">
        <v>348</v>
      </c>
      <c r="C369" s="5" t="s">
        <v>274</v>
      </c>
      <c r="D369" s="5" t="str">
        <f>REPLACE(C369,1,3, )</f>
        <v xml:space="preserve"> 504</v>
      </c>
      <c r="E369" s="6" t="s">
        <v>274</v>
      </c>
      <c r="F369" s="7">
        <f>IF(C369=E369,0,1)</f>
        <v>0</v>
      </c>
      <c r="G369" s="11" t="s">
        <v>298</v>
      </c>
      <c r="H369" s="11" t="s">
        <v>310</v>
      </c>
      <c r="I369" s="11" t="s">
        <v>365</v>
      </c>
      <c r="J369" s="12">
        <f>M369</f>
        <v>110000</v>
      </c>
      <c r="K369" s="13">
        <f>J369-M369</f>
        <v>0</v>
      </c>
      <c r="L369" s="17" t="s">
        <v>22</v>
      </c>
      <c r="M369" s="18">
        <v>110000</v>
      </c>
      <c r="N369" s="15">
        <f>2000+200+350+600+3600</f>
        <v>6750</v>
      </c>
      <c r="O369" s="39">
        <f>M369+N369</f>
        <v>116750</v>
      </c>
      <c r="P369" s="96"/>
      <c r="Q369" s="3" t="s">
        <v>459</v>
      </c>
      <c r="R369" s="36"/>
      <c r="S369" s="36">
        <f>R369+O369</f>
        <v>116750</v>
      </c>
      <c r="T369" s="36">
        <f>S369/0.7</f>
        <v>166785.71428571429</v>
      </c>
      <c r="U369" s="40">
        <f>T369/0.875</f>
        <v>190612.2448979592</v>
      </c>
      <c r="V369" s="41">
        <f>(U369-T369)/U369</f>
        <v>0.12500000000000006</v>
      </c>
      <c r="W369" s="40">
        <f>(ROUNDUP((U369/100),0))*100</f>
        <v>190700</v>
      </c>
      <c r="X369" s="42">
        <f>(T369-O369)/T369</f>
        <v>0.30000000000000004</v>
      </c>
      <c r="Y369" s="43"/>
      <c r="Z369" s="43"/>
      <c r="AA369" s="44"/>
      <c r="AB369" s="60"/>
    </row>
    <row r="370" spans="2:28" ht="14.4" customHeight="1">
      <c r="B370" s="4">
        <v>306</v>
      </c>
      <c r="C370" s="38" t="s">
        <v>659</v>
      </c>
      <c r="D370" s="5" t="str">
        <f>REPLACE(C370,1,3, )</f>
        <v xml:space="preserve"> 597</v>
      </c>
      <c r="E370" s="6" t="s">
        <v>659</v>
      </c>
      <c r="F370" s="7">
        <f>IF(C370=E370,0,1)</f>
        <v>0</v>
      </c>
      <c r="G370" s="8" t="s">
        <v>298</v>
      </c>
      <c r="H370" s="8" t="s">
        <v>41</v>
      </c>
      <c r="I370" s="8" t="s">
        <v>572</v>
      </c>
      <c r="J370" s="12">
        <v>107000</v>
      </c>
      <c r="K370" s="13">
        <f>J370-M370</f>
        <v>6650</v>
      </c>
      <c r="L370" s="7"/>
      <c r="M370" s="14">
        <f>J370-N370</f>
        <v>100350</v>
      </c>
      <c r="N370" s="15">
        <f>2000+200+350+600+500+3000</f>
        <v>6650</v>
      </c>
      <c r="O370" s="39">
        <f>M370+N370</f>
        <v>107000</v>
      </c>
      <c r="P370" s="95"/>
      <c r="Q370" s="77" t="s">
        <v>1379</v>
      </c>
      <c r="R370" s="36"/>
      <c r="S370" s="36">
        <f>R370+O370</f>
        <v>107000</v>
      </c>
      <c r="T370" s="36">
        <f>S370/0.7</f>
        <v>152857.14285714287</v>
      </c>
      <c r="U370" s="40">
        <f>T370/0.875</f>
        <v>174693.87755102041</v>
      </c>
      <c r="V370" s="41">
        <f>(U370-T370)/U370</f>
        <v>0.12499999999999996</v>
      </c>
      <c r="W370" s="40">
        <f>(ROUNDUP((U370/100),0))*100</f>
        <v>174700</v>
      </c>
      <c r="X370" s="42">
        <f>(T370-O370)/T370</f>
        <v>0.30000000000000004</v>
      </c>
      <c r="Y370" s="43"/>
      <c r="Z370" s="43"/>
      <c r="AA370" s="44"/>
      <c r="AB370" s="60"/>
    </row>
    <row r="371" spans="2:28" ht="14.4" customHeight="1">
      <c r="B371" s="4">
        <v>311</v>
      </c>
      <c r="C371" s="38" t="s">
        <v>660</v>
      </c>
      <c r="D371" s="5" t="str">
        <f>REPLACE(C371,1,3, )</f>
        <v xml:space="preserve"> 782</v>
      </c>
      <c r="E371" s="6" t="s">
        <v>660</v>
      </c>
      <c r="F371" s="7">
        <f>IF(C371=E371,0,1)</f>
        <v>0</v>
      </c>
      <c r="G371" s="8" t="s">
        <v>298</v>
      </c>
      <c r="H371" s="8" t="s">
        <v>41</v>
      </c>
      <c r="I371" s="8" t="s">
        <v>582</v>
      </c>
      <c r="J371" s="12">
        <v>81500</v>
      </c>
      <c r="K371" s="13">
        <f>J371-M371</f>
        <v>6150</v>
      </c>
      <c r="L371" s="7" t="s">
        <v>23</v>
      </c>
      <c r="M371" s="14">
        <f>J371-N371</f>
        <v>75350</v>
      </c>
      <c r="N371" s="15">
        <f>2000+200+350+600+3000</f>
        <v>6150</v>
      </c>
      <c r="O371" s="39">
        <f>M371+N371</f>
        <v>81500</v>
      </c>
      <c r="P371" s="95"/>
      <c r="Q371" s="77" t="s">
        <v>1550</v>
      </c>
      <c r="R371" s="36"/>
      <c r="S371" s="36">
        <f>R371+O371</f>
        <v>81500</v>
      </c>
      <c r="T371" s="36">
        <f>S371/0.7</f>
        <v>116428.57142857143</v>
      </c>
      <c r="U371" s="40">
        <f>T371/0.875</f>
        <v>133061.22448979592</v>
      </c>
      <c r="V371" s="41">
        <f>(U371-T371)/U371</f>
        <v>0.12499999999999994</v>
      </c>
      <c r="W371" s="40">
        <f>(ROUNDUP((U371/100),0))*100</f>
        <v>133100</v>
      </c>
      <c r="X371" s="42">
        <f>(T371-O371)/T371</f>
        <v>0.30000000000000004</v>
      </c>
      <c r="Y371" s="45"/>
      <c r="Z371" s="46"/>
      <c r="AA371" s="47"/>
      <c r="AB371" s="60"/>
    </row>
    <row r="372" spans="2:28" ht="14.4" customHeight="1">
      <c r="B372" s="4">
        <v>312</v>
      </c>
      <c r="C372" s="38" t="s">
        <v>661</v>
      </c>
      <c r="D372" s="5" t="str">
        <f>REPLACE(C372,1,3, )</f>
        <v xml:space="preserve"> 623</v>
      </c>
      <c r="E372" s="6" t="s">
        <v>661</v>
      </c>
      <c r="F372" s="7">
        <f>IF(C372=E372,0,1)</f>
        <v>0</v>
      </c>
      <c r="G372" s="8" t="s">
        <v>298</v>
      </c>
      <c r="H372" s="8" t="s">
        <v>41</v>
      </c>
      <c r="I372" s="8" t="s">
        <v>582</v>
      </c>
      <c r="J372" s="12">
        <v>81500</v>
      </c>
      <c r="K372" s="13">
        <f>J372-M372</f>
        <v>6150</v>
      </c>
      <c r="L372" s="7" t="s">
        <v>23</v>
      </c>
      <c r="M372" s="14">
        <f>J372-N372</f>
        <v>75350</v>
      </c>
      <c r="N372" s="15">
        <f>2000+200+350+600+3000</f>
        <v>6150</v>
      </c>
      <c r="O372" s="39">
        <f>M372+N372</f>
        <v>81500</v>
      </c>
      <c r="P372" s="95"/>
      <c r="Q372" s="77" t="s">
        <v>1550</v>
      </c>
      <c r="R372" s="36"/>
      <c r="S372" s="36">
        <f>R372+O372</f>
        <v>81500</v>
      </c>
      <c r="T372" s="36">
        <f>S372/0.7</f>
        <v>116428.57142857143</v>
      </c>
      <c r="U372" s="40">
        <f>T372/0.875</f>
        <v>133061.22448979592</v>
      </c>
      <c r="V372" s="41">
        <f>(U372-T372)/U372</f>
        <v>0.12499999999999994</v>
      </c>
      <c r="W372" s="40">
        <f>(ROUNDUP((U372/100),0))*100</f>
        <v>133100</v>
      </c>
      <c r="X372" s="42">
        <f>(T372-O372)/T372</f>
        <v>0.30000000000000004</v>
      </c>
      <c r="Y372" s="45"/>
      <c r="Z372" s="46"/>
      <c r="AA372" s="47"/>
      <c r="AB372" s="60"/>
    </row>
    <row r="373" spans="2:28" ht="14.4" customHeight="1">
      <c r="B373" s="4">
        <v>313</v>
      </c>
      <c r="C373" s="38" t="s">
        <v>662</v>
      </c>
      <c r="D373" s="5" t="str">
        <f>REPLACE(C373,1,3, )</f>
        <v xml:space="preserve"> 374</v>
      </c>
      <c r="E373" s="6" t="s">
        <v>662</v>
      </c>
      <c r="F373" s="7">
        <f>IF(C373=E373,0,1)</f>
        <v>0</v>
      </c>
      <c r="G373" s="8" t="s">
        <v>298</v>
      </c>
      <c r="H373" s="8" t="s">
        <v>41</v>
      </c>
      <c r="I373" s="8" t="s">
        <v>663</v>
      </c>
      <c r="J373" s="12"/>
      <c r="K373" s="13">
        <f>J373-M373</f>
        <v>0</v>
      </c>
      <c r="L373" s="7"/>
      <c r="M373" s="14">
        <f>J373-N373</f>
        <v>0</v>
      </c>
      <c r="N373" s="15"/>
      <c r="O373" s="39">
        <f>M373+N373</f>
        <v>0</v>
      </c>
      <c r="P373" s="95"/>
      <c r="Q373" s="3"/>
      <c r="R373" s="36"/>
      <c r="S373" s="36">
        <f>R373+O373</f>
        <v>0</v>
      </c>
      <c r="T373" s="36">
        <f>S373/0.7</f>
        <v>0</v>
      </c>
      <c r="U373" s="40">
        <f>T373/0.875</f>
        <v>0</v>
      </c>
      <c r="V373" s="41" t="e">
        <f>(U373-T373)/U373</f>
        <v>#DIV/0!</v>
      </c>
      <c r="W373" s="40">
        <f>(ROUNDUP((U373/100),0))*100</f>
        <v>0</v>
      </c>
      <c r="X373" s="42" t="e">
        <f>(T373-O373)/T373</f>
        <v>#DIV/0!</v>
      </c>
      <c r="Y373" s="45"/>
      <c r="Z373" s="46"/>
      <c r="AA373" s="47"/>
      <c r="AB373" s="60"/>
    </row>
    <row r="374" spans="2:28" ht="14.4" customHeight="1">
      <c r="B374" s="4">
        <v>318</v>
      </c>
      <c r="C374" s="38" t="s">
        <v>664</v>
      </c>
      <c r="D374" s="5" t="str">
        <f>REPLACE(C374,1,3, )</f>
        <v xml:space="preserve"> 283</v>
      </c>
      <c r="E374" s="6" t="s">
        <v>664</v>
      </c>
      <c r="F374" s="7">
        <f>IF(C374=E374,0,1)</f>
        <v>0</v>
      </c>
      <c r="G374" s="8" t="s">
        <v>20</v>
      </c>
      <c r="H374" s="8" t="s">
        <v>41</v>
      </c>
      <c r="I374" s="8" t="s">
        <v>582</v>
      </c>
      <c r="J374" s="12">
        <v>81500</v>
      </c>
      <c r="K374" s="13">
        <f>J374-M374</f>
        <v>6150</v>
      </c>
      <c r="L374" s="7" t="s">
        <v>23</v>
      </c>
      <c r="M374" s="14">
        <f>J374-N374</f>
        <v>75350</v>
      </c>
      <c r="N374" s="15">
        <f>2000+200+350+600+3000</f>
        <v>6150</v>
      </c>
      <c r="O374" s="39">
        <f>M374+N374</f>
        <v>81500</v>
      </c>
      <c r="P374" s="95"/>
      <c r="Q374" s="77" t="s">
        <v>1550</v>
      </c>
      <c r="R374" s="36"/>
      <c r="S374" s="36">
        <f>R374+O374</f>
        <v>81500</v>
      </c>
      <c r="T374" s="36">
        <f>S374/0.7</f>
        <v>116428.57142857143</v>
      </c>
      <c r="U374" s="40">
        <f>T374/0.875</f>
        <v>133061.22448979592</v>
      </c>
      <c r="V374" s="41">
        <f>(U374-T374)/U374</f>
        <v>0.12499999999999994</v>
      </c>
      <c r="W374" s="40">
        <f>(ROUNDUP((U374/100),0))*100</f>
        <v>133100</v>
      </c>
      <c r="X374" s="42">
        <f>(T374-O374)/T374</f>
        <v>0.30000000000000004</v>
      </c>
      <c r="Y374" s="45">
        <v>115763</v>
      </c>
      <c r="Z374" s="46">
        <f>T374-Y374</f>
        <v>665.57142857143481</v>
      </c>
      <c r="AA374" s="47">
        <f>Z374/Y374</f>
        <v>5.7494314122080005E-3</v>
      </c>
      <c r="AB374" s="60"/>
    </row>
    <row r="375" spans="2:28" ht="14.4" customHeight="1">
      <c r="B375" s="4">
        <v>321</v>
      </c>
      <c r="C375" s="38" t="s">
        <v>667</v>
      </c>
      <c r="D375" s="5" t="str">
        <f>REPLACE(C375,1,3, )</f>
        <v xml:space="preserve"> 824</v>
      </c>
      <c r="E375" s="6" t="s">
        <v>667</v>
      </c>
      <c r="F375" s="7">
        <f>IF(C375=E375,0,1)</f>
        <v>0</v>
      </c>
      <c r="G375" s="8" t="s">
        <v>20</v>
      </c>
      <c r="H375" s="8" t="s">
        <v>41</v>
      </c>
      <c r="I375" s="8" t="s">
        <v>668</v>
      </c>
      <c r="J375" s="90">
        <v>72500</v>
      </c>
      <c r="K375" s="90">
        <f>J375-M375</f>
        <v>6150</v>
      </c>
      <c r="L375" s="103" t="s">
        <v>1429</v>
      </c>
      <c r="M375" s="87">
        <f>J375-N375</f>
        <v>66350</v>
      </c>
      <c r="N375" s="87">
        <f>2000+2850+800+200+300</f>
        <v>6150</v>
      </c>
      <c r="O375" s="101">
        <f>M375+N375</f>
        <v>72500</v>
      </c>
      <c r="P375" s="95"/>
      <c r="Q375" s="88" t="s">
        <v>1405</v>
      </c>
      <c r="R375" s="36"/>
      <c r="S375" s="36">
        <f>R375+O375</f>
        <v>72500</v>
      </c>
      <c r="T375" s="36">
        <f>S375/0.7</f>
        <v>103571.42857142858</v>
      </c>
      <c r="U375" s="40">
        <f>T375/0.875</f>
        <v>118367.34693877552</v>
      </c>
      <c r="V375" s="41">
        <f>(U375-T375)/U375</f>
        <v>0.12499999999999999</v>
      </c>
      <c r="W375" s="40">
        <f>(ROUNDUP((U375/100),0))*100</f>
        <v>118400</v>
      </c>
      <c r="X375" s="42">
        <f>(T375-O375)/T375</f>
        <v>0.30000000000000004</v>
      </c>
      <c r="Y375" s="45">
        <v>107888</v>
      </c>
      <c r="Z375" s="46">
        <f>T375-Y375</f>
        <v>-4316.5714285714203</v>
      </c>
      <c r="AA375" s="47">
        <f>Z375/Y375</f>
        <v>-4.0009745556238138E-2</v>
      </c>
      <c r="AB375" s="60"/>
    </row>
    <row r="376" spans="2:28" ht="14.4" customHeight="1">
      <c r="B376" s="4">
        <v>322</v>
      </c>
      <c r="C376" s="38" t="s">
        <v>669</v>
      </c>
      <c r="D376" s="5" t="str">
        <f>REPLACE(C376,1,3, )</f>
        <v xml:space="preserve"> 674</v>
      </c>
      <c r="E376" s="6" t="s">
        <v>669</v>
      </c>
      <c r="F376" s="7">
        <f>IF(C376=E376,0,1)</f>
        <v>0</v>
      </c>
      <c r="G376" s="8" t="s">
        <v>298</v>
      </c>
      <c r="H376" s="8" t="s">
        <v>41</v>
      </c>
      <c r="I376" s="8" t="s">
        <v>510</v>
      </c>
      <c r="J376" s="85">
        <v>83000</v>
      </c>
      <c r="K376" s="13">
        <f>J376-M376</f>
        <v>6450</v>
      </c>
      <c r="L376" s="91" t="s">
        <v>23</v>
      </c>
      <c r="M376" s="14">
        <f>J376-N376</f>
        <v>76550</v>
      </c>
      <c r="N376" s="15">
        <f>2000+200+350+600+300+3000</f>
        <v>6450</v>
      </c>
      <c r="O376" s="39">
        <f>M376+N376</f>
        <v>83000</v>
      </c>
      <c r="P376" s="95"/>
      <c r="Q376" s="77" t="s">
        <v>1549</v>
      </c>
      <c r="R376" s="36"/>
      <c r="S376" s="36">
        <f>R376+O376</f>
        <v>83000</v>
      </c>
      <c r="T376" s="36">
        <f>S376/0.7</f>
        <v>118571.42857142858</v>
      </c>
      <c r="U376" s="40">
        <f>T376/0.875</f>
        <v>135510.20408163266</v>
      </c>
      <c r="V376" s="41">
        <f>(U376-T376)/U376</f>
        <v>0.125</v>
      </c>
      <c r="W376" s="40">
        <f>(ROUNDUP((U376/100),0))*100</f>
        <v>135600</v>
      </c>
      <c r="X376" s="42">
        <f>(T376-O376)/T376</f>
        <v>0.30000000000000004</v>
      </c>
      <c r="Y376" s="45">
        <v>0</v>
      </c>
      <c r="Z376" s="46">
        <f>T376-Y376</f>
        <v>118571.42857142858</v>
      </c>
      <c r="AA376" s="47" t="e">
        <f>Z376/Y376</f>
        <v>#DIV/0!</v>
      </c>
      <c r="AB376" s="60"/>
    </row>
    <row r="377" spans="2:28" ht="14.4" customHeight="1">
      <c r="B377" s="4">
        <v>323</v>
      </c>
      <c r="C377" s="5" t="s">
        <v>130</v>
      </c>
      <c r="D377" s="5" t="str">
        <f>REPLACE(C377,1,3, )</f>
        <v xml:space="preserve"> 892</v>
      </c>
      <c r="E377" s="6" t="s">
        <v>130</v>
      </c>
      <c r="F377" s="7">
        <f>IF(C377=E377,0,1)</f>
        <v>0</v>
      </c>
      <c r="G377" s="11" t="s">
        <v>298</v>
      </c>
      <c r="H377" s="11" t="s">
        <v>41</v>
      </c>
      <c r="I377" s="11" t="s">
        <v>330</v>
      </c>
      <c r="J377" s="12">
        <v>76500</v>
      </c>
      <c r="K377" s="13">
        <f>J377-M377</f>
        <v>6450</v>
      </c>
      <c r="L377" s="7" t="s">
        <v>23</v>
      </c>
      <c r="M377" s="14">
        <f>J377-N377</f>
        <v>70050</v>
      </c>
      <c r="N377" s="14">
        <f>2000+200+350+600+300+3000</f>
        <v>6450</v>
      </c>
      <c r="O377" s="39">
        <f>M377+N377</f>
        <v>76500</v>
      </c>
      <c r="P377" s="96"/>
      <c r="Q377" s="3" t="s">
        <v>374</v>
      </c>
      <c r="R377" s="36"/>
      <c r="S377" s="36">
        <f>R377+O377</f>
        <v>76500</v>
      </c>
      <c r="T377" s="36">
        <f>S377/0.7</f>
        <v>109285.71428571429</v>
      </c>
      <c r="U377" s="40">
        <f>T377/0.875</f>
        <v>124897.95918367348</v>
      </c>
      <c r="V377" s="41">
        <f>(U377-T377)/U377</f>
        <v>0.12500000000000003</v>
      </c>
      <c r="W377" s="40">
        <f>(ROUNDUP((U377/100),0))*100</f>
        <v>124900</v>
      </c>
      <c r="X377" s="42">
        <f>(T377-O377)/T377</f>
        <v>0.30000000000000004</v>
      </c>
      <c r="Y377" s="43"/>
      <c r="Z377" s="43"/>
      <c r="AA377" s="44"/>
      <c r="AB377" s="60"/>
    </row>
    <row r="378" spans="2:28" ht="14.4" customHeight="1">
      <c r="B378" s="4">
        <v>324</v>
      </c>
      <c r="C378" s="38" t="s">
        <v>670</v>
      </c>
      <c r="D378" s="5" t="str">
        <f>REPLACE(C378,1,3, )</f>
        <v xml:space="preserve"> 538</v>
      </c>
      <c r="E378" s="6" t="s">
        <v>670</v>
      </c>
      <c r="F378" s="7">
        <f>IF(C378=E378,0,1)</f>
        <v>0</v>
      </c>
      <c r="G378" s="8" t="s">
        <v>298</v>
      </c>
      <c r="H378" s="8" t="s">
        <v>41</v>
      </c>
      <c r="I378" s="8" t="s">
        <v>671</v>
      </c>
      <c r="J378" s="12">
        <v>78000</v>
      </c>
      <c r="K378" s="13">
        <f>J378-M378</f>
        <v>6450</v>
      </c>
      <c r="L378" s="7" t="s">
        <v>23</v>
      </c>
      <c r="M378" s="14">
        <f>J378-N378</f>
        <v>71550</v>
      </c>
      <c r="N378" s="14">
        <f>2000+600+200+350+300+3000</f>
        <v>6450</v>
      </c>
      <c r="O378" s="39">
        <f>M378+N378</f>
        <v>78000</v>
      </c>
      <c r="P378" s="96"/>
      <c r="Q378" s="77" t="s">
        <v>1368</v>
      </c>
      <c r="R378" s="36"/>
      <c r="S378" s="36">
        <f>R378+O378</f>
        <v>78000</v>
      </c>
      <c r="T378" s="36">
        <f>S378/0.7</f>
        <v>111428.57142857143</v>
      </c>
      <c r="U378" s="40">
        <f>T378/0.875</f>
        <v>127346.93877551021</v>
      </c>
      <c r="V378" s="41">
        <f>(U378-T378)/U378</f>
        <v>0.12499999999999997</v>
      </c>
      <c r="W378" s="40">
        <f>(ROUNDUP((U378/100),0))*100</f>
        <v>127400</v>
      </c>
      <c r="X378" s="42">
        <f>(T378-O378)/T378</f>
        <v>0.30000000000000004</v>
      </c>
      <c r="Y378" s="43"/>
      <c r="Z378" s="43"/>
      <c r="AA378" s="44"/>
      <c r="AB378" s="60"/>
    </row>
    <row r="379" spans="2:28" ht="14.4" customHeight="1">
      <c r="B379" s="4">
        <v>325</v>
      </c>
      <c r="C379" s="5" t="s">
        <v>131</v>
      </c>
      <c r="D379" s="5" t="str">
        <f>REPLACE(C379,1,3, )</f>
        <v xml:space="preserve"> 947</v>
      </c>
      <c r="E379" s="6" t="s">
        <v>131</v>
      </c>
      <c r="F379" s="7">
        <f>IF(C379=E379,0,1)</f>
        <v>0</v>
      </c>
      <c r="G379" s="11" t="s">
        <v>298</v>
      </c>
      <c r="H379" s="11" t="s">
        <v>41</v>
      </c>
      <c r="I379" s="11" t="s">
        <v>330</v>
      </c>
      <c r="J379" s="12">
        <v>77000</v>
      </c>
      <c r="K379" s="13">
        <f>J379-M379</f>
        <v>6800</v>
      </c>
      <c r="L379" s="7" t="s">
        <v>23</v>
      </c>
      <c r="M379" s="14">
        <f>J379-N379</f>
        <v>70200</v>
      </c>
      <c r="N379" s="14">
        <f>2000+200+350+600+650+3000</f>
        <v>6800</v>
      </c>
      <c r="O379" s="39">
        <f>M379+N379</f>
        <v>77000</v>
      </c>
      <c r="P379" s="95"/>
      <c r="Q379" s="3" t="s">
        <v>372</v>
      </c>
      <c r="R379" s="36"/>
      <c r="S379" s="36">
        <f>R379+O379</f>
        <v>77000</v>
      </c>
      <c r="T379" s="36">
        <f>S379/0.7</f>
        <v>110000</v>
      </c>
      <c r="U379" s="40">
        <f>T379/0.875</f>
        <v>125714.28571428571</v>
      </c>
      <c r="V379" s="41">
        <f>(U379-T379)/U379</f>
        <v>0.12499999999999997</v>
      </c>
      <c r="W379" s="40">
        <f>(ROUNDUP((U379/100),0))*100</f>
        <v>125800</v>
      </c>
      <c r="X379" s="42">
        <f>(T379-O379)/T379</f>
        <v>0.3</v>
      </c>
      <c r="Y379" s="43"/>
      <c r="Z379" s="43"/>
      <c r="AA379" s="43"/>
      <c r="AB379" s="59"/>
    </row>
    <row r="380" spans="2:28" ht="14.4" customHeight="1">
      <c r="B380" s="4">
        <v>326</v>
      </c>
      <c r="C380" s="5" t="s">
        <v>128</v>
      </c>
      <c r="D380" s="5" t="str">
        <f>REPLACE(C380,1,3, )</f>
        <v xml:space="preserve"> 478</v>
      </c>
      <c r="E380" s="6" t="s">
        <v>128</v>
      </c>
      <c r="F380" s="7">
        <f>IF(C380=E380,0,1)</f>
        <v>0</v>
      </c>
      <c r="G380" s="11" t="s">
        <v>298</v>
      </c>
      <c r="H380" s="11" t="s">
        <v>41</v>
      </c>
      <c r="I380" s="11" t="s">
        <v>330</v>
      </c>
      <c r="J380" s="12">
        <v>77000</v>
      </c>
      <c r="K380" s="13">
        <f>J380-M380</f>
        <v>6800</v>
      </c>
      <c r="L380" s="7" t="s">
        <v>23</v>
      </c>
      <c r="M380" s="14">
        <f>J380-N380</f>
        <v>70200</v>
      </c>
      <c r="N380" s="14">
        <f>2000+200+350+600+650+3000</f>
        <v>6800</v>
      </c>
      <c r="O380" s="39">
        <f>M380+N380</f>
        <v>77000</v>
      </c>
      <c r="P380" s="95"/>
      <c r="Q380" s="3" t="s">
        <v>372</v>
      </c>
      <c r="R380" s="36"/>
      <c r="S380" s="36">
        <f>R380+O380</f>
        <v>77000</v>
      </c>
      <c r="T380" s="36">
        <f>S380/0.7</f>
        <v>110000</v>
      </c>
      <c r="U380" s="40">
        <f>T380/0.875</f>
        <v>125714.28571428571</v>
      </c>
      <c r="V380" s="41">
        <f>(U380-T380)/U380</f>
        <v>0.12499999999999997</v>
      </c>
      <c r="W380" s="40">
        <f>(ROUNDUP((U380/100),0))*100</f>
        <v>125800</v>
      </c>
      <c r="X380" s="42">
        <f>(T380-O380)/T380</f>
        <v>0.3</v>
      </c>
      <c r="Y380" s="43"/>
      <c r="Z380" s="43"/>
      <c r="AA380" s="43"/>
      <c r="AB380" s="59"/>
    </row>
    <row r="381" spans="2:28" ht="14.4" customHeight="1">
      <c r="B381" s="4">
        <v>328</v>
      </c>
      <c r="C381" s="38" t="s">
        <v>672</v>
      </c>
      <c r="D381" s="5" t="str">
        <f>REPLACE(C381,1,3, )</f>
        <v xml:space="preserve"> 420</v>
      </c>
      <c r="E381" s="6" t="s">
        <v>672</v>
      </c>
      <c r="F381" s="7">
        <f>IF(C381=E381,0,1)</f>
        <v>0</v>
      </c>
      <c r="G381" s="8" t="s">
        <v>20</v>
      </c>
      <c r="H381" s="8" t="s">
        <v>41</v>
      </c>
      <c r="I381" s="8" t="s">
        <v>582</v>
      </c>
      <c r="J381" s="12">
        <v>85500</v>
      </c>
      <c r="K381" s="13">
        <f>J381-M381</f>
        <v>6950</v>
      </c>
      <c r="L381" s="7" t="s">
        <v>23</v>
      </c>
      <c r="M381" s="14">
        <f>J381-N381</f>
        <v>78550</v>
      </c>
      <c r="N381" s="15">
        <f>2000+200+350+600+800+3000</f>
        <v>6950</v>
      </c>
      <c r="O381" s="39">
        <f>M381+N381</f>
        <v>85500</v>
      </c>
      <c r="P381" s="96"/>
      <c r="Q381" s="77" t="s">
        <v>1551</v>
      </c>
      <c r="R381" s="36"/>
      <c r="S381" s="36">
        <f>R381+O381</f>
        <v>85500</v>
      </c>
      <c r="T381" s="36">
        <f>S381/0.7</f>
        <v>122142.85714285714</v>
      </c>
      <c r="U381" s="40">
        <f>T381/0.875</f>
        <v>139591.83673469388</v>
      </c>
      <c r="V381" s="41">
        <f>(U381-T381)/U381</f>
        <v>0.12499999999999997</v>
      </c>
      <c r="W381" s="40">
        <f>(ROUNDUP((U381/100),0))*100</f>
        <v>139600</v>
      </c>
      <c r="X381" s="42">
        <f>(T381-O381)/T381</f>
        <v>0.3</v>
      </c>
      <c r="Y381" s="45">
        <v>121450</v>
      </c>
      <c r="Z381" s="46">
        <f>T381-Y381</f>
        <v>692.85714285714494</v>
      </c>
      <c r="AA381" s="47">
        <f>Z381/Y381</f>
        <v>5.7048756101864551E-3</v>
      </c>
      <c r="AB381" s="60"/>
    </row>
    <row r="382" spans="2:28" ht="14.4" customHeight="1">
      <c r="B382" s="4">
        <v>333</v>
      </c>
      <c r="C382" s="38" t="s">
        <v>675</v>
      </c>
      <c r="D382" s="5" t="str">
        <f>REPLACE(C382,1,3, )</f>
        <v xml:space="preserve"> 884</v>
      </c>
      <c r="E382" s="6" t="s">
        <v>675</v>
      </c>
      <c r="F382" s="7">
        <f>IF(C382=E382,0,1)</f>
        <v>0</v>
      </c>
      <c r="G382" s="8" t="s">
        <v>20</v>
      </c>
      <c r="H382" s="8" t="s">
        <v>41</v>
      </c>
      <c r="I382" s="8" t="s">
        <v>582</v>
      </c>
      <c r="J382" s="12">
        <v>81500</v>
      </c>
      <c r="K382" s="13">
        <f>J382-M382</f>
        <v>6150</v>
      </c>
      <c r="L382" s="7" t="s">
        <v>23</v>
      </c>
      <c r="M382" s="14">
        <f>J382-N382</f>
        <v>75350</v>
      </c>
      <c r="N382" s="15">
        <f>2000+200+350+600+3000</f>
        <v>6150</v>
      </c>
      <c r="O382" s="39">
        <f>M382+N382</f>
        <v>81500</v>
      </c>
      <c r="P382" s="96"/>
      <c r="Q382" s="77" t="s">
        <v>1550</v>
      </c>
      <c r="R382" s="36"/>
      <c r="S382" s="36">
        <f>R382+O382</f>
        <v>81500</v>
      </c>
      <c r="T382" s="36">
        <f>S382/0.7</f>
        <v>116428.57142857143</v>
      </c>
      <c r="U382" s="40">
        <f>T382/0.875</f>
        <v>133061.22448979592</v>
      </c>
      <c r="V382" s="41">
        <f>(U382-T382)/U382</f>
        <v>0.12499999999999994</v>
      </c>
      <c r="W382" s="40">
        <f>(ROUNDUP((U382/100),0))*100</f>
        <v>133100</v>
      </c>
      <c r="X382" s="42">
        <f>(T382-O382)/T382</f>
        <v>0.30000000000000004</v>
      </c>
      <c r="Y382" s="45">
        <v>115763</v>
      </c>
      <c r="Z382" s="46">
        <f>T382-Y382</f>
        <v>665.57142857143481</v>
      </c>
      <c r="AA382" s="47">
        <f>Z382/Y382</f>
        <v>5.7494314122080005E-3</v>
      </c>
      <c r="AB382" s="60"/>
    </row>
    <row r="383" spans="2:28" ht="14.4" customHeight="1">
      <c r="B383" s="4">
        <v>330</v>
      </c>
      <c r="C383" s="5" t="s">
        <v>260</v>
      </c>
      <c r="D383" s="5" t="str">
        <f>REPLACE(C383,1,3, )</f>
        <v xml:space="preserve"> 502</v>
      </c>
      <c r="E383" s="6" t="s">
        <v>260</v>
      </c>
      <c r="F383" s="7">
        <f>IF(C383=E383,0,1)</f>
        <v>0</v>
      </c>
      <c r="G383" s="11" t="s">
        <v>298</v>
      </c>
      <c r="H383" s="11" t="s">
        <v>319</v>
      </c>
      <c r="I383" s="11" t="s">
        <v>362</v>
      </c>
      <c r="J383" s="12">
        <v>82500</v>
      </c>
      <c r="K383" s="13">
        <f>J383-M383</f>
        <v>6450</v>
      </c>
      <c r="L383" s="7" t="s">
        <v>23</v>
      </c>
      <c r="M383" s="14">
        <f>J383-N383</f>
        <v>76050</v>
      </c>
      <c r="N383" s="15">
        <f>300+2000+200+350+600+3000</f>
        <v>6450</v>
      </c>
      <c r="O383" s="39">
        <f>M383+N383</f>
        <v>82500</v>
      </c>
      <c r="P383" s="95"/>
      <c r="Q383" s="3" t="s">
        <v>450</v>
      </c>
      <c r="R383" s="36"/>
      <c r="S383" s="36">
        <f>R383+O383</f>
        <v>82500</v>
      </c>
      <c r="T383" s="36">
        <f>S383/0.7</f>
        <v>117857.14285714287</v>
      </c>
      <c r="U383" s="40">
        <f>T383/0.875</f>
        <v>134693.87755102041</v>
      </c>
      <c r="V383" s="41">
        <f>(U383-T383)/U383</f>
        <v>0.12499999999999994</v>
      </c>
      <c r="W383" s="40">
        <f>(ROUNDUP((U383/100),0))*100</f>
        <v>134700</v>
      </c>
      <c r="X383" s="42">
        <f>(T383-O383)/T383</f>
        <v>0.3000000000000001</v>
      </c>
      <c r="Y383" s="43"/>
      <c r="Z383" s="43"/>
      <c r="AA383" s="43"/>
      <c r="AB383" s="59"/>
    </row>
    <row r="384" spans="2:28" ht="14.4" customHeight="1">
      <c r="B384" s="4">
        <v>355</v>
      </c>
      <c r="C384" s="5" t="s">
        <v>93</v>
      </c>
      <c r="D384" s="5" t="str">
        <f>REPLACE(C384,1,3, )</f>
        <v xml:space="preserve"> 401</v>
      </c>
      <c r="E384" s="6" t="s">
        <v>93</v>
      </c>
      <c r="F384" s="7">
        <f>IF(C384=E384,0,1)</f>
        <v>0</v>
      </c>
      <c r="G384" s="11" t="s">
        <v>20</v>
      </c>
      <c r="H384" s="11" t="s">
        <v>319</v>
      </c>
      <c r="I384" s="11" t="s">
        <v>353</v>
      </c>
      <c r="J384" s="12">
        <v>126750</v>
      </c>
      <c r="K384" s="13">
        <f>J384-M384</f>
        <v>6750</v>
      </c>
      <c r="L384" s="7" t="s">
        <v>23</v>
      </c>
      <c r="M384" s="14">
        <f>J384-N384</f>
        <v>120000</v>
      </c>
      <c r="N384" s="15">
        <f>2000+200+350+600+3600</f>
        <v>6750</v>
      </c>
      <c r="O384" s="39">
        <f>M384+N384</f>
        <v>126750</v>
      </c>
      <c r="P384" s="95"/>
      <c r="Q384" s="3" t="s">
        <v>421</v>
      </c>
      <c r="R384" s="36"/>
      <c r="S384" s="36">
        <f>R384+O384</f>
        <v>126750</v>
      </c>
      <c r="T384" s="36">
        <f>S384/0.7</f>
        <v>181071.42857142858</v>
      </c>
      <c r="U384" s="40">
        <f>T384/0.875</f>
        <v>206938.77551020408</v>
      </c>
      <c r="V384" s="41">
        <f>(U384-T384)/U384</f>
        <v>0.12499999999999996</v>
      </c>
      <c r="W384" s="40">
        <f>(ROUNDUP((U384/100),0))*100</f>
        <v>207000</v>
      </c>
      <c r="X384" s="42">
        <f>(T384-O384)/T384</f>
        <v>0.30000000000000004</v>
      </c>
      <c r="Y384" s="45">
        <v>178938</v>
      </c>
      <c r="Z384" s="46">
        <f>T384-Y384</f>
        <v>2133.4285714285797</v>
      </c>
      <c r="AA384" s="47">
        <f>Z384/Y384</f>
        <v>1.1922725030058343E-2</v>
      </c>
      <c r="AB384" s="60"/>
    </row>
    <row r="385" spans="2:28" ht="14.4" customHeight="1">
      <c r="B385" s="4">
        <v>338</v>
      </c>
      <c r="C385" s="38" t="s">
        <v>676</v>
      </c>
      <c r="D385" s="5" t="str">
        <f>REPLACE(C385,1,3, )</f>
        <v xml:space="preserve"> 937</v>
      </c>
      <c r="E385" s="6" t="s">
        <v>676</v>
      </c>
      <c r="F385" s="7">
        <f>IF(C385=E385,0,1)</f>
        <v>0</v>
      </c>
      <c r="G385" s="8" t="s">
        <v>20</v>
      </c>
      <c r="H385" s="8" t="s">
        <v>48</v>
      </c>
      <c r="I385" s="8" t="s">
        <v>584</v>
      </c>
      <c r="J385" s="90">
        <v>97500</v>
      </c>
      <c r="K385" s="90">
        <f>J385-M385</f>
        <v>6950</v>
      </c>
      <c r="L385" s="103" t="s">
        <v>1429</v>
      </c>
      <c r="M385" s="87">
        <f>J385-N385</f>
        <v>90550</v>
      </c>
      <c r="N385" s="87">
        <f>2000+2850+800+200+300+800</f>
        <v>6950</v>
      </c>
      <c r="O385" s="101">
        <f>M385+N385</f>
        <v>97500</v>
      </c>
      <c r="P385" s="95"/>
      <c r="Q385" s="88" t="s">
        <v>1416</v>
      </c>
      <c r="R385" s="36"/>
      <c r="S385" s="36">
        <f>R385+O385</f>
        <v>97500</v>
      </c>
      <c r="T385" s="36">
        <f>S385/0.7</f>
        <v>139285.71428571429</v>
      </c>
      <c r="U385" s="40">
        <f>T385/0.875</f>
        <v>159183.67346938775</v>
      </c>
      <c r="V385" s="41">
        <f>(U385-T385)/U385</f>
        <v>0.12499999999999996</v>
      </c>
      <c r="W385" s="40">
        <f>(ROUNDUP((U385/100),0))*100</f>
        <v>159200</v>
      </c>
      <c r="X385" s="42">
        <f>(T385-O385)/T385</f>
        <v>0.30000000000000004</v>
      </c>
      <c r="Y385" s="45">
        <v>142188</v>
      </c>
      <c r="Z385" s="46">
        <f>T385-Y385</f>
        <v>-2902.2857142857101</v>
      </c>
      <c r="AA385" s="47">
        <f>Z385/Y385</f>
        <v>-2.04116079717396E-2</v>
      </c>
      <c r="AB385" s="60"/>
    </row>
    <row r="386" spans="2:28" ht="14.4" customHeight="1">
      <c r="B386" s="4">
        <v>339</v>
      </c>
      <c r="C386" s="38" t="s">
        <v>1374</v>
      </c>
      <c r="D386" s="5" t="str">
        <f>REPLACE(C386,1,3, )</f>
        <v xml:space="preserve"> 255</v>
      </c>
      <c r="E386" s="6" t="s">
        <v>1374</v>
      </c>
      <c r="F386" s="7">
        <f>IF(C386=E386,0,1)</f>
        <v>0</v>
      </c>
      <c r="G386" s="8" t="s">
        <v>20</v>
      </c>
      <c r="H386" s="8" t="s">
        <v>48</v>
      </c>
      <c r="I386" s="8" t="s">
        <v>491</v>
      </c>
      <c r="J386" s="12"/>
      <c r="K386" s="13">
        <f>J386-M386</f>
        <v>0</v>
      </c>
      <c r="L386" s="7"/>
      <c r="M386" s="14">
        <f>J386-N386</f>
        <v>0</v>
      </c>
      <c r="N386" s="15"/>
      <c r="O386" s="39">
        <f>M386+N386</f>
        <v>0</v>
      </c>
      <c r="P386" s="95"/>
      <c r="Q386" s="3"/>
      <c r="R386" s="36"/>
      <c r="S386" s="36">
        <f>R386+O386</f>
        <v>0</v>
      </c>
      <c r="T386" s="36">
        <f>S386/0.7</f>
        <v>0</v>
      </c>
      <c r="U386" s="40">
        <f>T386/0.875</f>
        <v>0</v>
      </c>
      <c r="V386" s="41" t="e">
        <f>(U386-T386)/U386</f>
        <v>#DIV/0!</v>
      </c>
      <c r="W386" s="40">
        <f>(ROUNDUP((U386/100),0))*100</f>
        <v>0</v>
      </c>
      <c r="X386" s="42" t="e">
        <f>(T386-O386)/T386</f>
        <v>#DIV/0!</v>
      </c>
      <c r="Y386" s="45">
        <v>140000</v>
      </c>
      <c r="Z386" s="46">
        <f>T386-Y386</f>
        <v>-140000</v>
      </c>
      <c r="AA386" s="47">
        <f>Z386/Y386</f>
        <v>-1</v>
      </c>
      <c r="AB386" s="60"/>
    </row>
    <row r="387" spans="2:28" ht="14.4" customHeight="1">
      <c r="B387" s="4">
        <v>340</v>
      </c>
      <c r="C387" s="38" t="s">
        <v>678</v>
      </c>
      <c r="D387" s="5" t="str">
        <f>REPLACE(C387,1,3, )</f>
        <v xml:space="preserve"> 780</v>
      </c>
      <c r="E387" s="6" t="s">
        <v>678</v>
      </c>
      <c r="F387" s="7">
        <f>IF(C387=E387,0,1)</f>
        <v>0</v>
      </c>
      <c r="G387" s="8" t="s">
        <v>20</v>
      </c>
      <c r="H387" s="8" t="s">
        <v>48</v>
      </c>
      <c r="I387" s="8" t="s">
        <v>679</v>
      </c>
      <c r="J387" s="90">
        <v>99000</v>
      </c>
      <c r="K387" s="90">
        <f>J387-M387</f>
        <v>6650</v>
      </c>
      <c r="L387" s="88" t="s">
        <v>23</v>
      </c>
      <c r="M387" s="87">
        <f>J387-N387</f>
        <v>92350</v>
      </c>
      <c r="N387" s="87">
        <f>2000+2850+800+200+300+500</f>
        <v>6650</v>
      </c>
      <c r="O387" s="101">
        <f>M387+N387</f>
        <v>99000</v>
      </c>
      <c r="P387" s="95"/>
      <c r="Q387" s="88" t="s">
        <v>1425</v>
      </c>
      <c r="R387" s="36"/>
      <c r="S387" s="36">
        <f>R387+O387</f>
        <v>99000</v>
      </c>
      <c r="T387" s="36">
        <f>S387/0.7</f>
        <v>141428.57142857145</v>
      </c>
      <c r="U387" s="40">
        <f>T387/0.875</f>
        <v>161632.65306122453</v>
      </c>
      <c r="V387" s="41">
        <f>(U387-T387)/U387</f>
        <v>0.12500000000000006</v>
      </c>
      <c r="W387" s="40">
        <f>(ROUNDUP((U387/100),0))*100</f>
        <v>161700</v>
      </c>
      <c r="X387" s="42">
        <f>(T387-O387)/T387</f>
        <v>0.3000000000000001</v>
      </c>
      <c r="Y387" s="45">
        <v>144288</v>
      </c>
      <c r="Z387" s="46">
        <f>T387-Y387</f>
        <v>-2859.4285714285506</v>
      </c>
      <c r="AA387" s="47">
        <f>Z387/Y387</f>
        <v>-1.9817507841459792E-2</v>
      </c>
      <c r="AB387" s="60"/>
    </row>
    <row r="388" spans="2:28" ht="14.4" customHeight="1">
      <c r="B388" s="4">
        <v>341</v>
      </c>
      <c r="C388" s="38" t="s">
        <v>680</v>
      </c>
      <c r="D388" s="5" t="str">
        <f>REPLACE(C388,1,3, )</f>
        <v xml:space="preserve"> 370</v>
      </c>
      <c r="E388" s="6" t="s">
        <v>680</v>
      </c>
      <c r="F388" s="7">
        <f>IF(C388=E388,0,1)</f>
        <v>0</v>
      </c>
      <c r="G388" s="8" t="s">
        <v>20</v>
      </c>
      <c r="H388" s="8" t="s">
        <v>48</v>
      </c>
      <c r="I388" s="8" t="s">
        <v>491</v>
      </c>
      <c r="J388" s="12"/>
      <c r="K388" s="13">
        <f>J388-M388</f>
        <v>0</v>
      </c>
      <c r="L388" s="7"/>
      <c r="M388" s="14">
        <f>J388-N388</f>
        <v>0</v>
      </c>
      <c r="N388" s="15"/>
      <c r="O388" s="39">
        <f>M388+N388</f>
        <v>0</v>
      </c>
      <c r="P388" s="95"/>
      <c r="Q388" s="3"/>
      <c r="R388" s="36"/>
      <c r="S388" s="36">
        <f>R388+O388</f>
        <v>0</v>
      </c>
      <c r="T388" s="36">
        <f>S388/0.7</f>
        <v>0</v>
      </c>
      <c r="U388" s="40">
        <f>T388/0.875</f>
        <v>0</v>
      </c>
      <c r="V388" s="41" t="e">
        <f>(U388-T388)/U388</f>
        <v>#DIV/0!</v>
      </c>
      <c r="W388" s="40">
        <f>(ROUNDUP((U388/100),0))*100</f>
        <v>0</v>
      </c>
      <c r="X388" s="42" t="e">
        <f>(T388-O388)/T388</f>
        <v>#DIV/0!</v>
      </c>
      <c r="Y388" s="45">
        <v>148575</v>
      </c>
      <c r="Z388" s="46">
        <f>T388-Y388</f>
        <v>-148575</v>
      </c>
      <c r="AA388" s="47">
        <f>Z388/Y388</f>
        <v>-1</v>
      </c>
      <c r="AB388" s="60"/>
    </row>
    <row r="389" spans="2:28" ht="14.4" customHeight="1">
      <c r="B389" s="4">
        <v>342</v>
      </c>
      <c r="C389" s="38" t="s">
        <v>681</v>
      </c>
      <c r="D389" s="5" t="str">
        <f>REPLACE(C389,1,3, )</f>
        <v xml:space="preserve"> 754</v>
      </c>
      <c r="E389" s="6" t="s">
        <v>681</v>
      </c>
      <c r="F389" s="7">
        <f>IF(C389=E389,0,1)</f>
        <v>0</v>
      </c>
      <c r="G389" s="8" t="s">
        <v>298</v>
      </c>
      <c r="H389" s="8" t="s">
        <v>48</v>
      </c>
      <c r="I389" s="8" t="s">
        <v>682</v>
      </c>
      <c r="J389" s="12"/>
      <c r="K389" s="13">
        <f>J389-M389</f>
        <v>0</v>
      </c>
      <c r="L389" s="7"/>
      <c r="M389" s="14">
        <f>J389-N389</f>
        <v>0</v>
      </c>
      <c r="N389" s="15"/>
      <c r="O389" s="39">
        <f>M389+N389</f>
        <v>0</v>
      </c>
      <c r="P389" s="95"/>
      <c r="Q389" s="3"/>
      <c r="R389" s="36"/>
      <c r="S389" s="36">
        <f>R389+O389</f>
        <v>0</v>
      </c>
      <c r="T389" s="36">
        <f>S389/0.7</f>
        <v>0</v>
      </c>
      <c r="U389" s="40">
        <f>T389/0.875</f>
        <v>0</v>
      </c>
      <c r="V389" s="41" t="e">
        <f>(U389-T389)/U389</f>
        <v>#DIV/0!</v>
      </c>
      <c r="W389" s="40">
        <f>(ROUNDUP((U389/100),0))*100</f>
        <v>0</v>
      </c>
      <c r="X389" s="42" t="e">
        <f>(T389-O389)/T389</f>
        <v>#DIV/0!</v>
      </c>
      <c r="Y389" s="43"/>
      <c r="Z389" s="43"/>
      <c r="AA389" s="43"/>
      <c r="AB389" s="59"/>
    </row>
    <row r="390" spans="2:28" ht="14.4" customHeight="1">
      <c r="B390" s="4">
        <v>343</v>
      </c>
      <c r="C390" s="38" t="s">
        <v>683</v>
      </c>
      <c r="D390" s="5" t="str">
        <f>REPLACE(C390,1,3, )</f>
        <v xml:space="preserve"> 518</v>
      </c>
      <c r="E390" s="6" t="s">
        <v>683</v>
      </c>
      <c r="F390" s="7">
        <f>IF(C390=E390,0,1)</f>
        <v>0</v>
      </c>
      <c r="G390" s="8" t="s">
        <v>20</v>
      </c>
      <c r="H390" s="8" t="s">
        <v>48</v>
      </c>
      <c r="I390" s="8" t="s">
        <v>491</v>
      </c>
      <c r="J390" s="12"/>
      <c r="K390" s="13">
        <f>J390-M390</f>
        <v>0</v>
      </c>
      <c r="L390" s="7"/>
      <c r="M390" s="14">
        <f>J390-N390</f>
        <v>0</v>
      </c>
      <c r="N390" s="15"/>
      <c r="O390" s="39">
        <f>M390+N390</f>
        <v>0</v>
      </c>
      <c r="P390" s="95"/>
      <c r="Q390" s="3"/>
      <c r="R390" s="36"/>
      <c r="S390" s="36">
        <f>R390+O390</f>
        <v>0</v>
      </c>
      <c r="T390" s="36">
        <f>S390/0.7</f>
        <v>0</v>
      </c>
      <c r="U390" s="40">
        <f>T390/0.875</f>
        <v>0</v>
      </c>
      <c r="V390" s="41" t="e">
        <f>(U390-T390)/U390</f>
        <v>#DIV/0!</v>
      </c>
      <c r="W390" s="40">
        <f>(ROUNDUP((U390/100),0))*100</f>
        <v>0</v>
      </c>
      <c r="X390" s="42" t="e">
        <f>(T390-O390)/T390</f>
        <v>#DIV/0!</v>
      </c>
      <c r="Y390" s="45">
        <v>145775</v>
      </c>
      <c r="Z390" s="46">
        <f>T390-Y390</f>
        <v>-145775</v>
      </c>
      <c r="AA390" s="47">
        <f>Z390/Y390</f>
        <v>-1</v>
      </c>
      <c r="AB390" s="60"/>
    </row>
    <row r="391" spans="2:28" ht="14.4" customHeight="1">
      <c r="B391" s="4">
        <v>345</v>
      </c>
      <c r="C391" s="5" t="s">
        <v>277</v>
      </c>
      <c r="D391" s="5" t="str">
        <f>REPLACE(C391,1,3, )</f>
        <v xml:space="preserve"> 399</v>
      </c>
      <c r="E391" s="6" t="s">
        <v>277</v>
      </c>
      <c r="F391" s="7">
        <f>IF(C391=E391,0,1)</f>
        <v>0</v>
      </c>
      <c r="G391" s="11" t="s">
        <v>298</v>
      </c>
      <c r="H391" s="11" t="s">
        <v>48</v>
      </c>
      <c r="I391" s="11" t="s">
        <v>366</v>
      </c>
      <c r="J391" s="12">
        <f>M391</f>
        <v>88000</v>
      </c>
      <c r="K391" s="13">
        <f>J391-M391</f>
        <v>0</v>
      </c>
      <c r="L391" s="17" t="s">
        <v>22</v>
      </c>
      <c r="M391" s="18">
        <v>88000</v>
      </c>
      <c r="N391" s="15">
        <f>2000+200+350+600+3000</f>
        <v>6150</v>
      </c>
      <c r="O391" s="39">
        <f>M391+N391</f>
        <v>94150</v>
      </c>
      <c r="P391" s="96"/>
      <c r="Q391" s="3" t="s">
        <v>458</v>
      </c>
      <c r="R391" s="36"/>
      <c r="S391" s="36">
        <f>R391+O391</f>
        <v>94150</v>
      </c>
      <c r="T391" s="36">
        <f>S391/0.7</f>
        <v>134500</v>
      </c>
      <c r="U391" s="40">
        <f>T391/0.875</f>
        <v>153714.28571428571</v>
      </c>
      <c r="V391" s="41">
        <f>(U391-T391)/U391</f>
        <v>0.12499999999999997</v>
      </c>
      <c r="W391" s="40">
        <f>(ROUNDUP((U391/100),0))*100</f>
        <v>153800</v>
      </c>
      <c r="X391" s="42">
        <f>(T391-O391)/T391</f>
        <v>0.3</v>
      </c>
      <c r="Y391" s="43"/>
      <c r="Z391" s="43"/>
      <c r="AA391" s="44"/>
      <c r="AB391" s="60"/>
    </row>
    <row r="392" spans="2:28" ht="14.4" customHeight="1">
      <c r="B392" s="4">
        <v>346</v>
      </c>
      <c r="C392" s="5" t="s">
        <v>470</v>
      </c>
      <c r="D392" s="5" t="str">
        <f>REPLACE(C392,1,3, )</f>
        <v xml:space="preserve"> 933</v>
      </c>
      <c r="E392" s="6" t="s">
        <v>470</v>
      </c>
      <c r="F392" s="7">
        <f>IF(C392=E392,0,1)</f>
        <v>0</v>
      </c>
      <c r="G392" s="11" t="s">
        <v>479</v>
      </c>
      <c r="H392" s="11" t="s">
        <v>48</v>
      </c>
      <c r="I392" s="11" t="s">
        <v>330</v>
      </c>
      <c r="J392" s="12">
        <v>0</v>
      </c>
      <c r="K392" s="13">
        <f>J392-M392</f>
        <v>0</v>
      </c>
      <c r="L392" s="7" t="s">
        <v>469</v>
      </c>
      <c r="M392" s="14">
        <v>0</v>
      </c>
      <c r="N392" s="14">
        <v>0</v>
      </c>
      <c r="O392" s="39">
        <f>M392+N392</f>
        <v>0</v>
      </c>
      <c r="P392" s="95"/>
      <c r="Q392" s="3"/>
      <c r="R392" s="36"/>
      <c r="S392" s="36">
        <f>R392+O392</f>
        <v>0</v>
      </c>
      <c r="T392" s="36">
        <f>S392/0.7</f>
        <v>0</v>
      </c>
      <c r="U392" s="40">
        <f>T392/0.875</f>
        <v>0</v>
      </c>
      <c r="V392" s="41" t="e">
        <f>(U392-T392)/U392</f>
        <v>#DIV/0!</v>
      </c>
      <c r="W392" s="40">
        <f>(ROUNDUP((U392/100),0))*100</f>
        <v>0</v>
      </c>
      <c r="X392" s="42" t="e">
        <f>(T392-O392)/T392</f>
        <v>#DIV/0!</v>
      </c>
      <c r="Y392" s="45">
        <v>0</v>
      </c>
      <c r="Z392" s="46">
        <f>T392-Y392</f>
        <v>0</v>
      </c>
      <c r="AA392" s="47" t="e">
        <f>Z392/Y392</f>
        <v>#DIV/0!</v>
      </c>
      <c r="AB392" s="60"/>
    </row>
    <row r="393" spans="2:28" ht="14.4" customHeight="1">
      <c r="B393" s="4">
        <v>349</v>
      </c>
      <c r="C393" s="5" t="s">
        <v>92</v>
      </c>
      <c r="D393" s="5" t="str">
        <f>REPLACE(C393,1,3, )</f>
        <v xml:space="preserve"> 205</v>
      </c>
      <c r="E393" s="6" t="s">
        <v>92</v>
      </c>
      <c r="F393" s="7">
        <f>IF(C393=E393,0,1)</f>
        <v>0</v>
      </c>
      <c r="G393" s="11" t="s">
        <v>20</v>
      </c>
      <c r="H393" s="11" t="s">
        <v>48</v>
      </c>
      <c r="I393" s="11" t="s">
        <v>365</v>
      </c>
      <c r="J393" s="12">
        <f>M393</f>
        <v>90000</v>
      </c>
      <c r="K393" s="13">
        <f>J393-M393</f>
        <v>0</v>
      </c>
      <c r="L393" s="17" t="s">
        <v>22</v>
      </c>
      <c r="M393" s="18">
        <v>90000</v>
      </c>
      <c r="N393" s="15">
        <f>2000+200+350+600+3600</f>
        <v>6750</v>
      </c>
      <c r="O393" s="39">
        <f>M393+N393</f>
        <v>96750</v>
      </c>
      <c r="P393" s="95"/>
      <c r="Q393" s="3" t="s">
        <v>459</v>
      </c>
      <c r="R393" s="36"/>
      <c r="S393" s="36">
        <f>R393+O393</f>
        <v>96750</v>
      </c>
      <c r="T393" s="36">
        <f>S393/0.7</f>
        <v>138214.28571428571</v>
      </c>
      <c r="U393" s="40">
        <f>T393/0.875</f>
        <v>157959.18367346938</v>
      </c>
      <c r="V393" s="41">
        <f>(U393-T393)/U393</f>
        <v>0.12499999999999997</v>
      </c>
      <c r="W393" s="40">
        <f>(ROUNDUP((U393/100),0))*100</f>
        <v>158000</v>
      </c>
      <c r="X393" s="42">
        <f>(T393-O393)/T393</f>
        <v>0.3</v>
      </c>
      <c r="Y393" s="45">
        <v>133263</v>
      </c>
      <c r="Z393" s="46">
        <f>T393-Y393</f>
        <v>4951.2857142857101</v>
      </c>
      <c r="AA393" s="47">
        <f>Z393/Y393</f>
        <v>3.7154241719649941E-2</v>
      </c>
      <c r="AB393" s="60"/>
    </row>
    <row r="394" spans="2:28" ht="14.4" customHeight="1">
      <c r="B394" s="4">
        <v>104</v>
      </c>
      <c r="C394" s="5" t="s">
        <v>476</v>
      </c>
      <c r="D394" s="5" t="str">
        <f>REPLACE(C394,1,3, )</f>
        <v xml:space="preserve"> 275</v>
      </c>
      <c r="E394" s="6" t="s">
        <v>476</v>
      </c>
      <c r="F394" s="7">
        <f>IF(C394=E394,0,1)</f>
        <v>0</v>
      </c>
      <c r="G394" s="11" t="s">
        <v>298</v>
      </c>
      <c r="H394" s="11" t="s">
        <v>42</v>
      </c>
      <c r="I394" s="11" t="s">
        <v>359</v>
      </c>
      <c r="J394" s="12"/>
      <c r="K394" s="13">
        <f>J394-M394</f>
        <v>0</v>
      </c>
      <c r="L394" s="7"/>
      <c r="M394" s="14">
        <f>J394-N394</f>
        <v>0</v>
      </c>
      <c r="N394" s="15"/>
      <c r="O394" s="39">
        <f>M394+N394</f>
        <v>0</v>
      </c>
      <c r="P394" s="95"/>
      <c r="Q394" s="3"/>
      <c r="R394" s="36"/>
      <c r="S394" s="36">
        <f>R394+O394</f>
        <v>0</v>
      </c>
      <c r="T394" s="36">
        <f>S394/0.7</f>
        <v>0</v>
      </c>
      <c r="U394" s="40">
        <f>T394/0.875</f>
        <v>0</v>
      </c>
      <c r="V394" s="41" t="e">
        <f>(U394-T394)/U394</f>
        <v>#DIV/0!</v>
      </c>
      <c r="W394" s="40">
        <f>(ROUNDUP((U394/100),0))*100</f>
        <v>0</v>
      </c>
      <c r="X394" s="42" t="e">
        <f>(T394-O394)/T394</f>
        <v>#DIV/0!</v>
      </c>
      <c r="Y394" s="43"/>
      <c r="Z394" s="43"/>
      <c r="AA394" s="43"/>
      <c r="AB394" s="59"/>
    </row>
    <row r="395" spans="2:28" ht="14.4" customHeight="1">
      <c r="B395" s="4">
        <v>319</v>
      </c>
      <c r="C395" s="5" t="s">
        <v>46</v>
      </c>
      <c r="D395" s="5" t="str">
        <f>REPLACE(C395,1,3, )</f>
        <v xml:space="preserve"> 431</v>
      </c>
      <c r="E395" s="6" t="s">
        <v>46</v>
      </c>
      <c r="F395" s="7">
        <f>IF(C395=E395,0,1)</f>
        <v>0</v>
      </c>
      <c r="G395" s="11" t="s">
        <v>20</v>
      </c>
      <c r="H395" s="11" t="s">
        <v>42</v>
      </c>
      <c r="I395" s="11" t="s">
        <v>359</v>
      </c>
      <c r="J395" s="12">
        <f>M395</f>
        <v>101000</v>
      </c>
      <c r="K395" s="13">
        <f>J395-M395</f>
        <v>0</v>
      </c>
      <c r="L395" s="17" t="s">
        <v>22</v>
      </c>
      <c r="M395" s="18">
        <v>101000</v>
      </c>
      <c r="N395" s="15">
        <f>2000+200+300+800+2850</f>
        <v>6150</v>
      </c>
      <c r="O395" s="39">
        <f>M395+N395</f>
        <v>107150</v>
      </c>
      <c r="P395" s="95"/>
      <c r="Q395" s="3" t="s">
        <v>435</v>
      </c>
      <c r="R395" s="36"/>
      <c r="S395" s="36">
        <f>R395+O395</f>
        <v>107150</v>
      </c>
      <c r="T395" s="36">
        <f>S395/0.7</f>
        <v>153071.42857142858</v>
      </c>
      <c r="U395" s="40">
        <f>T395/0.875</f>
        <v>174938.77551020408</v>
      </c>
      <c r="V395" s="41">
        <f>(U395-T395)/U395</f>
        <v>0.12499999999999996</v>
      </c>
      <c r="W395" s="40">
        <f>(ROUNDUP((U395/100),0))*100</f>
        <v>175000</v>
      </c>
      <c r="X395" s="42">
        <f>(T395-O395)/T395</f>
        <v>0.30000000000000004</v>
      </c>
      <c r="Y395" s="45">
        <v>149538</v>
      </c>
      <c r="Z395" s="46">
        <f>T395-Y395</f>
        <v>3533.4285714285797</v>
      </c>
      <c r="AA395" s="47">
        <f>Z395/Y395</f>
        <v>2.3628967696696358E-2</v>
      </c>
      <c r="AB395" s="60"/>
    </row>
    <row r="396" spans="2:28" ht="14.4" customHeight="1">
      <c r="B396" s="4">
        <v>335</v>
      </c>
      <c r="C396" s="5" t="s">
        <v>47</v>
      </c>
      <c r="D396" s="5" t="str">
        <f>REPLACE(C396,1,3, )</f>
        <v xml:space="preserve"> 758</v>
      </c>
      <c r="E396" s="6" t="s">
        <v>47</v>
      </c>
      <c r="F396" s="7">
        <f>IF(C396=E396,0,1)</f>
        <v>0</v>
      </c>
      <c r="G396" s="11" t="s">
        <v>20</v>
      </c>
      <c r="H396" s="11" t="s">
        <v>42</v>
      </c>
      <c r="I396" s="11" t="s">
        <v>339</v>
      </c>
      <c r="J396" s="12">
        <v>105000</v>
      </c>
      <c r="K396" s="13">
        <f>J396-M396</f>
        <v>6800</v>
      </c>
      <c r="L396" s="7" t="s">
        <v>23</v>
      </c>
      <c r="M396" s="14">
        <f>J396-N396</f>
        <v>98200</v>
      </c>
      <c r="N396" s="14">
        <v>6800</v>
      </c>
      <c r="O396" s="39">
        <f>M396+N396</f>
        <v>105000</v>
      </c>
      <c r="P396" s="94"/>
      <c r="Q396" s="3" t="s">
        <v>396</v>
      </c>
      <c r="R396" s="36"/>
      <c r="S396" s="36">
        <f>R396+O396</f>
        <v>105000</v>
      </c>
      <c r="T396" s="36">
        <f>S396/0.7</f>
        <v>150000</v>
      </c>
      <c r="U396" s="40">
        <f>T396/0.875</f>
        <v>171428.57142857142</v>
      </c>
      <c r="V396" s="41">
        <f>(U396-T396)/U396</f>
        <v>0.12499999999999996</v>
      </c>
      <c r="W396" s="40">
        <f>(ROUNDUP((U396/100),0))*100</f>
        <v>171500</v>
      </c>
      <c r="X396" s="42">
        <f>(T396-O396)/T396</f>
        <v>0.3</v>
      </c>
      <c r="Y396" s="45">
        <v>132213</v>
      </c>
      <c r="Z396" s="46">
        <f>T396-Y396</f>
        <v>17787</v>
      </c>
      <c r="AA396" s="47">
        <f>Z396/Y396</f>
        <v>0.13453291279980031</v>
      </c>
      <c r="AB396" s="60"/>
    </row>
    <row r="397" spans="2:28" ht="14.4" customHeight="1">
      <c r="B397" s="4">
        <v>337</v>
      </c>
      <c r="C397" s="5" t="s">
        <v>242</v>
      </c>
      <c r="D397" s="5" t="str">
        <f>REPLACE(C397,1,3, )</f>
        <v xml:space="preserve"> 386</v>
      </c>
      <c r="E397" s="6" t="s">
        <v>242</v>
      </c>
      <c r="F397" s="7">
        <f>IF(C397=E397,0,1)</f>
        <v>0</v>
      </c>
      <c r="G397" s="11" t="s">
        <v>298</v>
      </c>
      <c r="H397" s="11" t="s">
        <v>42</v>
      </c>
      <c r="I397" s="11" t="s">
        <v>359</v>
      </c>
      <c r="J397" s="12">
        <v>107500</v>
      </c>
      <c r="K397" s="13">
        <f>J397-M397</f>
        <v>0</v>
      </c>
      <c r="L397" s="17" t="s">
        <v>22</v>
      </c>
      <c r="M397" s="20">
        <v>107500</v>
      </c>
      <c r="N397" s="15">
        <f>2000+200+350+600+300+3000</f>
        <v>6450</v>
      </c>
      <c r="O397" s="39">
        <f>M397+N397</f>
        <v>113950</v>
      </c>
      <c r="P397" s="95"/>
      <c r="Q397" s="3" t="s">
        <v>434</v>
      </c>
      <c r="R397" s="36"/>
      <c r="S397" s="36">
        <f>R397+O397</f>
        <v>113950</v>
      </c>
      <c r="T397" s="36">
        <f>S397/0.7</f>
        <v>162785.71428571429</v>
      </c>
      <c r="U397" s="40">
        <f>T397/0.875</f>
        <v>186040.81632653062</v>
      </c>
      <c r="V397" s="41">
        <f>(U397-T397)/U397</f>
        <v>0.12500000000000003</v>
      </c>
      <c r="W397" s="40">
        <f>(ROUNDUP((U397/100),0))*100</f>
        <v>186100</v>
      </c>
      <c r="X397" s="42">
        <f>(T397-O397)/T397</f>
        <v>0.30000000000000004</v>
      </c>
      <c r="Y397" s="43"/>
      <c r="Z397" s="43"/>
      <c r="AA397" s="43"/>
      <c r="AB397" s="59"/>
    </row>
    <row r="398" spans="2:28" ht="14.4" customHeight="1">
      <c r="B398" s="4">
        <v>354</v>
      </c>
      <c r="C398" s="38" t="s">
        <v>687</v>
      </c>
      <c r="D398" s="5" t="str">
        <f>REPLACE(C398,1,3, )</f>
        <v xml:space="preserve"> 946</v>
      </c>
      <c r="E398" s="6" t="s">
        <v>687</v>
      </c>
      <c r="F398" s="7">
        <f>IF(C398=E398,0,1)</f>
        <v>0</v>
      </c>
      <c r="G398" s="8" t="s">
        <v>20</v>
      </c>
      <c r="H398" s="8" t="s">
        <v>42</v>
      </c>
      <c r="I398" s="8" t="s">
        <v>688</v>
      </c>
      <c r="J398" s="85">
        <v>97500</v>
      </c>
      <c r="K398" s="13">
        <f>J398-M398</f>
        <v>6950</v>
      </c>
      <c r="L398" s="103" t="s">
        <v>1429</v>
      </c>
      <c r="M398" s="14">
        <f>J398-N398</f>
        <v>90550</v>
      </c>
      <c r="N398" s="15">
        <v>6950</v>
      </c>
      <c r="O398" s="39">
        <f>M398+N398</f>
        <v>97500</v>
      </c>
      <c r="P398" s="95"/>
      <c r="Q398" s="77" t="s">
        <v>1401</v>
      </c>
      <c r="R398" s="36"/>
      <c r="S398" s="36">
        <f>R398+O398</f>
        <v>97500</v>
      </c>
      <c r="T398" s="36">
        <f>S398/0.7</f>
        <v>139285.71428571429</v>
      </c>
      <c r="U398" s="40">
        <f>T398/0.875</f>
        <v>159183.67346938775</v>
      </c>
      <c r="V398" s="41">
        <f>(U398-T398)/U398</f>
        <v>0.12499999999999996</v>
      </c>
      <c r="W398" s="40">
        <f>(ROUNDUP((U398/100),0))*100</f>
        <v>159200</v>
      </c>
      <c r="X398" s="42">
        <f>(T398-O398)/T398</f>
        <v>0.30000000000000004</v>
      </c>
      <c r="Y398" s="45">
        <v>139300</v>
      </c>
      <c r="Z398" s="46">
        <f>T398-Y398</f>
        <v>-14.285714285710128</v>
      </c>
      <c r="AA398" s="47">
        <f>Z398/Y398</f>
        <v>-1.0255358424773962E-4</v>
      </c>
      <c r="AB398" s="60"/>
    </row>
    <row r="399" spans="2:28" ht="14.4" customHeight="1">
      <c r="B399" s="4">
        <v>117</v>
      </c>
      <c r="C399" s="38" t="s">
        <v>579</v>
      </c>
      <c r="D399" s="5" t="str">
        <f>REPLACE(C399,1,3, )</f>
        <v xml:space="preserve"> 895</v>
      </c>
      <c r="E399" s="6" t="s">
        <v>579</v>
      </c>
      <c r="F399" s="7">
        <f>IF(C399=E399,0,1)</f>
        <v>0</v>
      </c>
      <c r="G399" s="8" t="s">
        <v>298</v>
      </c>
      <c r="H399" s="8" t="s">
        <v>39</v>
      </c>
      <c r="I399" s="8" t="s">
        <v>567</v>
      </c>
      <c r="J399" s="12"/>
      <c r="K399" s="13">
        <f>J399-M399</f>
        <v>0</v>
      </c>
      <c r="L399" s="7"/>
      <c r="M399" s="14">
        <f>J399-N399</f>
        <v>0</v>
      </c>
      <c r="N399" s="14"/>
      <c r="O399" s="39">
        <f>M399+N399</f>
        <v>0</v>
      </c>
      <c r="P399" s="95"/>
      <c r="Q399" s="3"/>
      <c r="R399" s="36"/>
      <c r="S399" s="36">
        <f>R399+O399</f>
        <v>0</v>
      </c>
      <c r="T399" s="36">
        <f>S399/0.7</f>
        <v>0</v>
      </c>
      <c r="U399" s="40">
        <f>T399/0.875</f>
        <v>0</v>
      </c>
      <c r="V399" s="41" t="e">
        <f>(U399-T399)/U399</f>
        <v>#DIV/0!</v>
      </c>
      <c r="W399" s="40">
        <f>(ROUNDUP((U399/100),0))*100</f>
        <v>0</v>
      </c>
      <c r="X399" s="42" t="e">
        <f>(T399-O399)/T399</f>
        <v>#DIV/0!</v>
      </c>
      <c r="Y399" s="43"/>
      <c r="Z399" s="43"/>
      <c r="AA399" s="44"/>
      <c r="AB399" s="60"/>
    </row>
    <row r="400" spans="2:28" ht="14.4" customHeight="1">
      <c r="B400" s="4">
        <v>305</v>
      </c>
      <c r="C400" s="5" t="s">
        <v>247</v>
      </c>
      <c r="D400" s="5" t="str">
        <f>REPLACE(C400,1,3, )</f>
        <v xml:space="preserve"> 726</v>
      </c>
      <c r="E400" s="6" t="s">
        <v>247</v>
      </c>
      <c r="F400" s="7">
        <f>IF(C400=E400,0,1)</f>
        <v>0</v>
      </c>
      <c r="G400" s="11" t="s">
        <v>298</v>
      </c>
      <c r="H400" s="11" t="s">
        <v>39</v>
      </c>
      <c r="I400" s="11" t="s">
        <v>359</v>
      </c>
      <c r="J400" s="12">
        <f>M400</f>
        <v>69000</v>
      </c>
      <c r="K400" s="13">
        <f>J400-M400</f>
        <v>0</v>
      </c>
      <c r="L400" s="17" t="s">
        <v>22</v>
      </c>
      <c r="M400" s="18">
        <v>69000</v>
      </c>
      <c r="N400" s="15">
        <f>2000+200+350+600+300+800</f>
        <v>4250</v>
      </c>
      <c r="O400" s="39">
        <f>M400+N400</f>
        <v>73250</v>
      </c>
      <c r="P400" s="95"/>
      <c r="Q400" s="3" t="s">
        <v>440</v>
      </c>
      <c r="R400" s="36"/>
      <c r="S400" s="36">
        <f>R400+O400</f>
        <v>73250</v>
      </c>
      <c r="T400" s="36">
        <f>S400/0.7</f>
        <v>104642.85714285714</v>
      </c>
      <c r="U400" s="40">
        <f>T400/0.875</f>
        <v>119591.83673469388</v>
      </c>
      <c r="V400" s="41">
        <f>(U400-T400)/U400</f>
        <v>0.12499999999999997</v>
      </c>
      <c r="W400" s="40">
        <f>(ROUNDUP((U400/100),0))*100</f>
        <v>119600</v>
      </c>
      <c r="X400" s="42">
        <f>(T400-O400)/T400</f>
        <v>0.3</v>
      </c>
      <c r="Y400" s="43"/>
      <c r="Z400" s="43"/>
      <c r="AA400" s="44"/>
      <c r="AB400" s="60"/>
    </row>
    <row r="401" spans="2:28" ht="14.4" customHeight="1">
      <c r="B401" s="4">
        <v>307</v>
      </c>
      <c r="C401" s="5" t="s">
        <v>40</v>
      </c>
      <c r="D401" s="5" t="str">
        <f>REPLACE(C401,1,3, )</f>
        <v xml:space="preserve"> 658</v>
      </c>
      <c r="E401" s="6" t="s">
        <v>40</v>
      </c>
      <c r="F401" s="7">
        <f>IF(C401=E401,0,1)</f>
        <v>0</v>
      </c>
      <c r="G401" s="11" t="s">
        <v>20</v>
      </c>
      <c r="H401" s="11" t="s">
        <v>39</v>
      </c>
      <c r="I401" s="11" t="s">
        <v>359</v>
      </c>
      <c r="J401" s="12">
        <f>M401</f>
        <v>69000</v>
      </c>
      <c r="K401" s="13">
        <f>J401-M401</f>
        <v>0</v>
      </c>
      <c r="L401" s="17" t="s">
        <v>22</v>
      </c>
      <c r="M401" s="18">
        <v>69000</v>
      </c>
      <c r="N401" s="15">
        <f>2000+200+350+600+550+800</f>
        <v>4500</v>
      </c>
      <c r="O401" s="39">
        <f>M401+N401</f>
        <v>73500</v>
      </c>
      <c r="P401" s="95"/>
      <c r="Q401" s="3" t="s">
        <v>437</v>
      </c>
      <c r="R401" s="36"/>
      <c r="S401" s="36">
        <f>R401+O401</f>
        <v>73500</v>
      </c>
      <c r="T401" s="36">
        <f>S401/0.7</f>
        <v>105000</v>
      </c>
      <c r="U401" s="40">
        <f>T401/0.875</f>
        <v>120000</v>
      </c>
      <c r="V401" s="41">
        <f>(U401-T401)/U401</f>
        <v>0.125</v>
      </c>
      <c r="W401" s="40">
        <f>(ROUNDUP((U401/100),0))*100</f>
        <v>120000</v>
      </c>
      <c r="X401" s="42">
        <f>(T401-O401)/T401</f>
        <v>0.3</v>
      </c>
      <c r="Y401" s="45">
        <v>99225</v>
      </c>
      <c r="Z401" s="46">
        <f>T401-Y401</f>
        <v>5775</v>
      </c>
      <c r="AA401" s="47">
        <f>Z401/Y401</f>
        <v>5.8201058201058198E-2</v>
      </c>
      <c r="AB401" s="60"/>
    </row>
    <row r="402" spans="2:28" ht="14.4" customHeight="1">
      <c r="B402" s="4">
        <v>344</v>
      </c>
      <c r="C402" s="5" t="s">
        <v>252</v>
      </c>
      <c r="D402" s="5" t="str">
        <f>REPLACE(C402,1,3, )</f>
        <v xml:space="preserve"> 927</v>
      </c>
      <c r="E402" s="6" t="s">
        <v>252</v>
      </c>
      <c r="F402" s="7">
        <f>IF(C402=E402,0,1)</f>
        <v>0</v>
      </c>
      <c r="G402" s="11" t="s">
        <v>298</v>
      </c>
      <c r="H402" s="11" t="s">
        <v>39</v>
      </c>
      <c r="I402" s="11" t="s">
        <v>359</v>
      </c>
      <c r="J402" s="12">
        <f>M402</f>
        <v>75000</v>
      </c>
      <c r="K402" s="13">
        <f>J402-M402</f>
        <v>0</v>
      </c>
      <c r="L402" s="17" t="s">
        <v>22</v>
      </c>
      <c r="M402" s="18">
        <v>75000</v>
      </c>
      <c r="N402" s="15">
        <f>2000+200+350+600+300+3000</f>
        <v>6450</v>
      </c>
      <c r="O402" s="39">
        <f>M402+N402</f>
        <v>81450</v>
      </c>
      <c r="P402" s="95"/>
      <c r="Q402" s="3" t="s">
        <v>420</v>
      </c>
      <c r="R402" s="36"/>
      <c r="S402" s="36">
        <f>R402+O402</f>
        <v>81450</v>
      </c>
      <c r="T402" s="36">
        <f>S402/0.7</f>
        <v>116357.14285714287</v>
      </c>
      <c r="U402" s="40">
        <f>T402/0.875</f>
        <v>132979.5918367347</v>
      </c>
      <c r="V402" s="41">
        <f>(U402-T402)/U402</f>
        <v>0.12499999999999997</v>
      </c>
      <c r="W402" s="40">
        <f>(ROUNDUP((U402/100),0))*100</f>
        <v>133000</v>
      </c>
      <c r="X402" s="42">
        <f>(T402-O402)/T402</f>
        <v>0.3000000000000001</v>
      </c>
      <c r="Y402" s="43"/>
      <c r="Z402" s="43"/>
      <c r="AA402" s="43"/>
      <c r="AB402" s="59"/>
    </row>
    <row r="403" spans="2:28" ht="14.4" customHeight="1">
      <c r="B403" s="4">
        <v>139</v>
      </c>
      <c r="C403" s="5" t="s">
        <v>36</v>
      </c>
      <c r="D403" s="5" t="str">
        <f>REPLACE(C403,1,3, )</f>
        <v xml:space="preserve"> 317</v>
      </c>
      <c r="E403" s="6" t="s">
        <v>36</v>
      </c>
      <c r="F403" s="7">
        <f>IF(C403=E403,0,1)</f>
        <v>0</v>
      </c>
      <c r="G403" s="11" t="s">
        <v>20</v>
      </c>
      <c r="H403" s="11" t="s">
        <v>320</v>
      </c>
      <c r="I403" s="11" t="s">
        <v>354</v>
      </c>
      <c r="J403" s="12">
        <v>86500</v>
      </c>
      <c r="K403" s="13">
        <f>J403-M403</f>
        <v>6650</v>
      </c>
      <c r="L403" s="7" t="s">
        <v>23</v>
      </c>
      <c r="M403" s="14">
        <f>J403-N403</f>
        <v>79850</v>
      </c>
      <c r="N403" s="15">
        <f>2000+200+350+600+500+3000</f>
        <v>6650</v>
      </c>
      <c r="O403" s="39">
        <f>M403+N403</f>
        <v>86500</v>
      </c>
      <c r="P403" s="96"/>
      <c r="Q403" s="3" t="s">
        <v>423</v>
      </c>
      <c r="R403" s="36"/>
      <c r="S403" s="36">
        <f>R403+O403</f>
        <v>86500</v>
      </c>
      <c r="T403" s="36">
        <f>S403/0.7</f>
        <v>123571.42857142858</v>
      </c>
      <c r="U403" s="40">
        <f>T403/0.875</f>
        <v>141224.48979591837</v>
      </c>
      <c r="V403" s="41">
        <f>(U403-T403)/U403</f>
        <v>0.12499999999999997</v>
      </c>
      <c r="W403" s="40">
        <f>(ROUNDUP((U403/100),0))*100</f>
        <v>141300</v>
      </c>
      <c r="X403" s="42">
        <f>(T403-O403)/T403</f>
        <v>0.30000000000000004</v>
      </c>
      <c r="Y403" s="45">
        <v>124338</v>
      </c>
      <c r="Z403" s="46">
        <f>T403-Y403</f>
        <v>-766.57142857142026</v>
      </c>
      <c r="AA403" s="47">
        <f>Z403/Y403</f>
        <v>-6.165222446648814E-3</v>
      </c>
      <c r="AB403" s="60"/>
    </row>
    <row r="404" spans="2:28" ht="14.4" customHeight="1">
      <c r="B404" s="4">
        <v>285</v>
      </c>
      <c r="C404" s="38" t="s">
        <v>636</v>
      </c>
      <c r="D404" s="5" t="str">
        <f>REPLACE(C404,1,3, )</f>
        <v xml:space="preserve"> 779</v>
      </c>
      <c r="E404" s="6" t="s">
        <v>636</v>
      </c>
      <c r="F404" s="7">
        <f>IF(C404=E404,0,1)</f>
        <v>0</v>
      </c>
      <c r="G404" s="8" t="s">
        <v>20</v>
      </c>
      <c r="H404" s="8" t="s">
        <v>313</v>
      </c>
      <c r="I404" s="8" t="s">
        <v>491</v>
      </c>
      <c r="J404" s="12"/>
      <c r="K404" s="13">
        <f>J404-M404</f>
        <v>0</v>
      </c>
      <c r="L404" s="7"/>
      <c r="M404" s="14">
        <f>J404-N404</f>
        <v>0</v>
      </c>
      <c r="N404" s="15"/>
      <c r="O404" s="39">
        <f>M404+N404</f>
        <v>0</v>
      </c>
      <c r="P404" s="96"/>
      <c r="Q404" s="3"/>
      <c r="R404" s="36"/>
      <c r="S404" s="36">
        <f>R404+O404</f>
        <v>0</v>
      </c>
      <c r="T404" s="36">
        <f>S404/0.7</f>
        <v>0</v>
      </c>
      <c r="U404" s="40">
        <f>T404/0.875</f>
        <v>0</v>
      </c>
      <c r="V404" s="41" t="e">
        <f>(U404-T404)/U404</f>
        <v>#DIV/0!</v>
      </c>
      <c r="W404" s="40">
        <f>(ROUNDUP((U404/100),0))*100</f>
        <v>0</v>
      </c>
      <c r="X404" s="42" t="e">
        <f>(T404-O404)/T404</f>
        <v>#DIV/0!</v>
      </c>
      <c r="Y404" s="45">
        <v>118650</v>
      </c>
      <c r="Z404" s="46">
        <f>T404-Y404</f>
        <v>-118650</v>
      </c>
      <c r="AA404" s="47">
        <f>Z404/Y404</f>
        <v>-1</v>
      </c>
      <c r="AB404" s="60"/>
    </row>
    <row r="405" spans="2:28" ht="14.4" customHeight="1">
      <c r="B405" s="4">
        <v>286</v>
      </c>
      <c r="C405" s="5" t="s">
        <v>269</v>
      </c>
      <c r="D405" s="5" t="str">
        <f>REPLACE(C405,1,3, )</f>
        <v xml:space="preserve"> 633</v>
      </c>
      <c r="E405" s="6" t="s">
        <v>269</v>
      </c>
      <c r="F405" s="7">
        <f>IF(C405=E405,0,1)</f>
        <v>0</v>
      </c>
      <c r="G405" s="11" t="s">
        <v>298</v>
      </c>
      <c r="H405" s="11" t="s">
        <v>313</v>
      </c>
      <c r="I405" s="11" t="s">
        <v>364</v>
      </c>
      <c r="J405" s="12">
        <v>70000</v>
      </c>
      <c r="K405" s="13">
        <f>J405-M405</f>
        <v>4200</v>
      </c>
      <c r="L405" s="7" t="s">
        <v>23</v>
      </c>
      <c r="M405" s="14">
        <f>J405-N405</f>
        <v>65800</v>
      </c>
      <c r="N405" s="15">
        <f>2000+200+350+600+300+750</f>
        <v>4200</v>
      </c>
      <c r="O405" s="39">
        <f>M405+N405</f>
        <v>70000</v>
      </c>
      <c r="P405" s="95"/>
      <c r="Q405" s="3" t="s">
        <v>455</v>
      </c>
      <c r="R405" s="36"/>
      <c r="S405" s="36">
        <f>R405+O405</f>
        <v>70000</v>
      </c>
      <c r="T405" s="36">
        <f>S405/0.7</f>
        <v>100000</v>
      </c>
      <c r="U405" s="40">
        <f>T405/0.875</f>
        <v>114285.71428571429</v>
      </c>
      <c r="V405" s="41">
        <f>(U405-T405)/U405</f>
        <v>0.12500000000000003</v>
      </c>
      <c r="W405" s="40">
        <f>(ROUNDUP((U405/100),0))*100</f>
        <v>114300</v>
      </c>
      <c r="X405" s="42">
        <f>(T405-O405)/T405</f>
        <v>0.3</v>
      </c>
      <c r="Y405" s="43"/>
      <c r="Z405" s="43"/>
      <c r="AA405" s="43"/>
      <c r="AB405" s="59"/>
    </row>
    <row r="406" spans="2:28" ht="14.4" customHeight="1">
      <c r="B406" s="4">
        <v>287</v>
      </c>
      <c r="C406" s="38" t="s">
        <v>637</v>
      </c>
      <c r="D406" s="5" t="str">
        <f>REPLACE(C406,1,3, )</f>
        <v xml:space="preserve"> 298</v>
      </c>
      <c r="E406" s="6" t="s">
        <v>637</v>
      </c>
      <c r="F406" s="7">
        <f>IF(C406=E406,0,1)</f>
        <v>0</v>
      </c>
      <c r="G406" s="8" t="s">
        <v>20</v>
      </c>
      <c r="H406" s="8" t="s">
        <v>313</v>
      </c>
      <c r="I406" s="8" t="s">
        <v>510</v>
      </c>
      <c r="J406" s="12">
        <v>72000</v>
      </c>
      <c r="K406" s="13">
        <f>J406-M406</f>
        <v>3950</v>
      </c>
      <c r="L406" s="7" t="s">
        <v>23</v>
      </c>
      <c r="M406" s="14">
        <f>J406-N406</f>
        <v>68050</v>
      </c>
      <c r="N406" s="15">
        <f>2000+200+350+600+800</f>
        <v>3950</v>
      </c>
      <c r="O406" s="39">
        <f>M406+N406</f>
        <v>72000</v>
      </c>
      <c r="P406" s="95"/>
      <c r="Q406" s="77" t="s">
        <v>1436</v>
      </c>
      <c r="R406" s="36"/>
      <c r="S406" s="36">
        <f>R406+O406</f>
        <v>72000</v>
      </c>
      <c r="T406" s="36">
        <f>S406/0.7</f>
        <v>102857.14285714287</v>
      </c>
      <c r="U406" s="40">
        <f>T406/0.875</f>
        <v>117551.02040816328</v>
      </c>
      <c r="V406" s="41">
        <f>(U406-T406)/U406</f>
        <v>0.12500000000000003</v>
      </c>
      <c r="W406" s="40">
        <f>(ROUNDUP((U406/100),0))*100</f>
        <v>117600</v>
      </c>
      <c r="X406" s="42">
        <f>(T406-O406)/T406</f>
        <v>0.3000000000000001</v>
      </c>
      <c r="Y406" s="45">
        <v>101500</v>
      </c>
      <c r="Z406" s="46">
        <f>T406-Y406</f>
        <v>1357.1428571428696</v>
      </c>
      <c r="AA406" s="47">
        <f>Z406/Y406</f>
        <v>1.3370865587614479E-2</v>
      </c>
      <c r="AB406" s="60"/>
    </row>
    <row r="407" spans="2:28" ht="14.4" customHeight="1">
      <c r="B407" s="4">
        <v>290</v>
      </c>
      <c r="C407" s="5" t="s">
        <v>91</v>
      </c>
      <c r="D407" s="5" t="str">
        <f>REPLACE(C407,1,3, )</f>
        <v xml:space="preserve"> 900</v>
      </c>
      <c r="E407" s="6" t="s">
        <v>91</v>
      </c>
      <c r="F407" s="7">
        <f>IF(C407=E407,0,1)</f>
        <v>0</v>
      </c>
      <c r="G407" s="11" t="s">
        <v>20</v>
      </c>
      <c r="H407" s="11" t="s">
        <v>313</v>
      </c>
      <c r="I407" s="11" t="s">
        <v>357</v>
      </c>
      <c r="J407" s="12">
        <v>70000</v>
      </c>
      <c r="K407" s="13">
        <f>J407-M407</f>
        <v>3900</v>
      </c>
      <c r="L407" s="7" t="s">
        <v>23</v>
      </c>
      <c r="M407" s="14">
        <f>J407-N407</f>
        <v>66100</v>
      </c>
      <c r="N407" s="15">
        <f>2000+200+350+600+750</f>
        <v>3900</v>
      </c>
      <c r="O407" s="39">
        <f>M407+N407</f>
        <v>70000</v>
      </c>
      <c r="P407" s="95"/>
      <c r="Q407" s="3" t="s">
        <v>427</v>
      </c>
      <c r="R407" s="36"/>
      <c r="S407" s="36">
        <f>R407+O407</f>
        <v>70000</v>
      </c>
      <c r="T407" s="36">
        <f>S407/0.7</f>
        <v>100000</v>
      </c>
      <c r="U407" s="40">
        <f>T407/0.875</f>
        <v>114285.71428571429</v>
      </c>
      <c r="V407" s="41">
        <f>(U407-T407)/U407</f>
        <v>0.12500000000000003</v>
      </c>
      <c r="W407" s="40">
        <f>(ROUNDUP((U407/100),0))*100</f>
        <v>114300</v>
      </c>
      <c r="X407" s="42">
        <f>(T407-O407)/T407</f>
        <v>0.3</v>
      </c>
      <c r="Y407" s="45">
        <v>105788</v>
      </c>
      <c r="Z407" s="46">
        <f>T407-Y407</f>
        <v>-5788</v>
      </c>
      <c r="AA407" s="47">
        <f>Z407/Y407</f>
        <v>-5.4713199984875414E-2</v>
      </c>
      <c r="AB407" s="60"/>
    </row>
    <row r="408" spans="2:28" ht="14.4" customHeight="1">
      <c r="B408" s="4">
        <v>291</v>
      </c>
      <c r="C408" s="5" t="s">
        <v>38</v>
      </c>
      <c r="D408" s="5" t="str">
        <f>REPLACE(C408,1,3, )</f>
        <v xml:space="preserve"> 653</v>
      </c>
      <c r="E408" s="6" t="s">
        <v>38</v>
      </c>
      <c r="F408" s="7">
        <f>IF(C408=E408,0,1)</f>
        <v>0</v>
      </c>
      <c r="G408" s="11" t="s">
        <v>20</v>
      </c>
      <c r="H408" s="11" t="s">
        <v>313</v>
      </c>
      <c r="I408" s="11" t="s">
        <v>357</v>
      </c>
      <c r="J408" s="12">
        <v>70000</v>
      </c>
      <c r="K408" s="13">
        <f>J408-M408</f>
        <v>3900</v>
      </c>
      <c r="L408" s="7" t="s">
        <v>23</v>
      </c>
      <c r="M408" s="14">
        <f>J408-N408</f>
        <v>66100</v>
      </c>
      <c r="N408" s="15">
        <f>2000+200+350+600+750</f>
        <v>3900</v>
      </c>
      <c r="O408" s="39">
        <f>M408+N408</f>
        <v>70000</v>
      </c>
      <c r="P408" s="95"/>
      <c r="Q408" s="3" t="s">
        <v>427</v>
      </c>
      <c r="R408" s="36"/>
      <c r="S408" s="36">
        <f>R408+O408</f>
        <v>70000</v>
      </c>
      <c r="T408" s="36">
        <f>S408/0.7</f>
        <v>100000</v>
      </c>
      <c r="U408" s="40">
        <f>T408/0.875</f>
        <v>114285.71428571429</v>
      </c>
      <c r="V408" s="41">
        <f>(U408-T408)/U408</f>
        <v>0.12500000000000003</v>
      </c>
      <c r="W408" s="40">
        <f>(ROUNDUP((U408/100),0))*100</f>
        <v>114300</v>
      </c>
      <c r="X408" s="42">
        <f>(T408-O408)/T408</f>
        <v>0.3</v>
      </c>
      <c r="Y408" s="45">
        <v>105788</v>
      </c>
      <c r="Z408" s="46">
        <f>T408-Y408</f>
        <v>-5788</v>
      </c>
      <c r="AA408" s="47">
        <f>Z408/Y408</f>
        <v>-5.4713199984875414E-2</v>
      </c>
      <c r="AB408" s="60"/>
    </row>
    <row r="409" spans="2:28" ht="14.4" customHeight="1">
      <c r="B409" s="4">
        <v>292</v>
      </c>
      <c r="C409" s="38" t="s">
        <v>648</v>
      </c>
      <c r="D409" s="5" t="str">
        <f>REPLACE(C409,1,3, )</f>
        <v xml:space="preserve"> 503</v>
      </c>
      <c r="E409" s="6" t="s">
        <v>648</v>
      </c>
      <c r="F409" s="7">
        <f>IF(C409=E409,0,1)</f>
        <v>0</v>
      </c>
      <c r="G409" s="8" t="s">
        <v>20</v>
      </c>
      <c r="H409" s="8" t="s">
        <v>313</v>
      </c>
      <c r="I409" s="8" t="s">
        <v>491</v>
      </c>
      <c r="J409" s="12"/>
      <c r="K409" s="13">
        <f>J409-M409</f>
        <v>0</v>
      </c>
      <c r="L409" s="7"/>
      <c r="M409" s="14">
        <f>J409-N409</f>
        <v>0</v>
      </c>
      <c r="N409" s="15"/>
      <c r="O409" s="39">
        <f>M409+N409</f>
        <v>0</v>
      </c>
      <c r="P409" s="95"/>
      <c r="Q409" s="3"/>
      <c r="R409" s="36"/>
      <c r="S409" s="36">
        <f>R409+O409</f>
        <v>0</v>
      </c>
      <c r="T409" s="36">
        <f>S409/0.7</f>
        <v>0</v>
      </c>
      <c r="U409" s="40">
        <f>T409/0.875</f>
        <v>0</v>
      </c>
      <c r="V409" s="41" t="e">
        <f>(U409-T409)/U409</f>
        <v>#DIV/0!</v>
      </c>
      <c r="W409" s="40">
        <f>(ROUNDUP((U409/100),0))*100</f>
        <v>0</v>
      </c>
      <c r="X409" s="42" t="e">
        <f>(T409-O409)/T409</f>
        <v>#DIV/0!</v>
      </c>
      <c r="Y409" s="45">
        <v>110075</v>
      </c>
      <c r="Z409" s="46">
        <f>T409-Y409</f>
        <v>-110075</v>
      </c>
      <c r="AA409" s="47">
        <f>Z409/Y409</f>
        <v>-1</v>
      </c>
      <c r="AB409" s="60"/>
    </row>
    <row r="410" spans="2:28" ht="14.4" customHeight="1">
      <c r="B410" s="4">
        <v>293</v>
      </c>
      <c r="C410" s="38" t="s">
        <v>649</v>
      </c>
      <c r="D410" s="5" t="str">
        <f>REPLACE(C410,1,3, )</f>
        <v xml:space="preserve"> 202</v>
      </c>
      <c r="E410" s="6" t="s">
        <v>649</v>
      </c>
      <c r="F410" s="7">
        <f>IF(C410=E410,0,1)</f>
        <v>0</v>
      </c>
      <c r="G410" s="8" t="s">
        <v>298</v>
      </c>
      <c r="H410" s="8" t="s">
        <v>313</v>
      </c>
      <c r="I410" s="8" t="s">
        <v>650</v>
      </c>
      <c r="J410" s="12">
        <v>71000</v>
      </c>
      <c r="K410" s="13">
        <f>J410-M410</f>
        <v>4250</v>
      </c>
      <c r="L410" s="7" t="s">
        <v>23</v>
      </c>
      <c r="M410" s="14">
        <f>J410-N410</f>
        <v>66750</v>
      </c>
      <c r="N410" s="15">
        <f>2000+200+350+600+800+300</f>
        <v>4250</v>
      </c>
      <c r="O410" s="39">
        <f>M410+N410</f>
        <v>71000</v>
      </c>
      <c r="P410" s="95"/>
      <c r="Q410" s="77" t="s">
        <v>1512</v>
      </c>
      <c r="R410" s="36"/>
      <c r="S410" s="36">
        <f>R410+O410</f>
        <v>71000</v>
      </c>
      <c r="T410" s="36">
        <f>S410/0.7</f>
        <v>101428.57142857143</v>
      </c>
      <c r="U410" s="40">
        <f>T410/0.875</f>
        <v>115918.36734693879</v>
      </c>
      <c r="V410" s="41">
        <f>(U410-T410)/U410</f>
        <v>0.12500000000000003</v>
      </c>
      <c r="W410" s="40">
        <f>(ROUNDUP((U410/100),0))*100</f>
        <v>116000</v>
      </c>
      <c r="X410" s="42">
        <f>(T410-O410)/T410</f>
        <v>0.30000000000000004</v>
      </c>
      <c r="Y410" s="45"/>
      <c r="Z410" s="46"/>
      <c r="AA410" s="47"/>
      <c r="AB410" s="60"/>
    </row>
    <row r="411" spans="2:28" ht="14.4" customHeight="1">
      <c r="B411" s="4">
        <v>294</v>
      </c>
      <c r="C411" s="5" t="s">
        <v>272</v>
      </c>
      <c r="D411" s="5" t="str">
        <f>REPLACE(C411,1,3, )</f>
        <v xml:space="preserve"> 765</v>
      </c>
      <c r="E411" s="6" t="s">
        <v>272</v>
      </c>
      <c r="F411" s="7">
        <f>IF(C411=E411,0,1)</f>
        <v>0</v>
      </c>
      <c r="G411" s="11" t="s">
        <v>298</v>
      </c>
      <c r="H411" s="11" t="s">
        <v>313</v>
      </c>
      <c r="I411" s="11" t="s">
        <v>364</v>
      </c>
      <c r="J411" s="12">
        <v>72500</v>
      </c>
      <c r="K411" s="13">
        <f>J411-M411</f>
        <v>4200</v>
      </c>
      <c r="L411" s="7" t="s">
        <v>23</v>
      </c>
      <c r="M411" s="14">
        <f>J411-N411</f>
        <v>68300</v>
      </c>
      <c r="N411" s="15">
        <f>2000+200+350+600+300+750</f>
        <v>4200</v>
      </c>
      <c r="O411" s="39">
        <f>M411+N411</f>
        <v>72500</v>
      </c>
      <c r="P411" s="96"/>
      <c r="Q411" s="3" t="s">
        <v>457</v>
      </c>
      <c r="R411" s="36"/>
      <c r="S411" s="36">
        <f>R411+O411</f>
        <v>72500</v>
      </c>
      <c r="T411" s="36">
        <f>S411/0.7</f>
        <v>103571.42857142858</v>
      </c>
      <c r="U411" s="40">
        <f>T411/0.875</f>
        <v>118367.34693877552</v>
      </c>
      <c r="V411" s="41">
        <f>(U411-T411)/U411</f>
        <v>0.12499999999999999</v>
      </c>
      <c r="W411" s="40">
        <f>(ROUNDUP((U411/100),0))*100</f>
        <v>118400</v>
      </c>
      <c r="X411" s="42">
        <f>(T411-O411)/T411</f>
        <v>0.30000000000000004</v>
      </c>
      <c r="Y411" s="43"/>
      <c r="Z411" s="43"/>
      <c r="AA411" s="44"/>
      <c r="AB411" s="60"/>
    </row>
    <row r="412" spans="2:28" ht="14.4" customHeight="1">
      <c r="B412" s="4">
        <v>297</v>
      </c>
      <c r="C412" s="38" t="s">
        <v>652</v>
      </c>
      <c r="D412" s="5" t="str">
        <f>REPLACE(C412,1,3, )</f>
        <v xml:space="preserve"> 568</v>
      </c>
      <c r="E412" s="6" t="s">
        <v>652</v>
      </c>
      <c r="F412" s="7">
        <f>IF(C412=E412,0,1)</f>
        <v>0</v>
      </c>
      <c r="G412" s="8" t="s">
        <v>20</v>
      </c>
      <c r="H412" s="8" t="s">
        <v>313</v>
      </c>
      <c r="I412" s="8" t="s">
        <v>538</v>
      </c>
      <c r="J412" s="12">
        <v>70000</v>
      </c>
      <c r="K412" s="13">
        <f>J412-M412</f>
        <v>3950</v>
      </c>
      <c r="L412" s="7" t="s">
        <v>23</v>
      </c>
      <c r="M412" s="14">
        <f>J412-N412</f>
        <v>66050</v>
      </c>
      <c r="N412" s="15">
        <f>2000+200+350+600+800</f>
        <v>3950</v>
      </c>
      <c r="O412" s="39">
        <f>M412+N412</f>
        <v>70000</v>
      </c>
      <c r="P412" s="96"/>
      <c r="Q412" s="77" t="s">
        <v>1436</v>
      </c>
      <c r="R412" s="36"/>
      <c r="S412" s="36">
        <f>R412+O412</f>
        <v>70000</v>
      </c>
      <c r="T412" s="36">
        <f>S412/0.7</f>
        <v>100000</v>
      </c>
      <c r="U412" s="40">
        <f>T412/0.875</f>
        <v>114285.71428571429</v>
      </c>
      <c r="V412" s="41">
        <f>(U412-T412)/U412</f>
        <v>0.12500000000000003</v>
      </c>
      <c r="W412" s="40">
        <f>(ROUNDUP((U412/100),0))*100</f>
        <v>114300</v>
      </c>
      <c r="X412" s="42">
        <f>(T412-O412)/T412</f>
        <v>0.3</v>
      </c>
      <c r="Y412" s="45">
        <v>105788</v>
      </c>
      <c r="Z412" s="46">
        <f>T412-Y412</f>
        <v>-5788</v>
      </c>
      <c r="AA412" s="47">
        <f>Z412/Y412</f>
        <v>-5.4713199984875414E-2</v>
      </c>
      <c r="AB412" s="60"/>
    </row>
    <row r="413" spans="2:28" ht="14.4" customHeight="1">
      <c r="B413" s="4">
        <v>298</v>
      </c>
      <c r="C413" s="38" t="s">
        <v>653</v>
      </c>
      <c r="D413" s="5" t="str">
        <f>REPLACE(C413,1,3, )</f>
        <v xml:space="preserve"> 377</v>
      </c>
      <c r="E413" s="6" t="s">
        <v>653</v>
      </c>
      <c r="F413" s="7">
        <f>IF(C413=E413,0,1)</f>
        <v>0</v>
      </c>
      <c r="G413" s="8" t="s">
        <v>298</v>
      </c>
      <c r="H413" s="8" t="s">
        <v>313</v>
      </c>
      <c r="I413" s="8" t="s">
        <v>510</v>
      </c>
      <c r="J413" s="12">
        <v>75000</v>
      </c>
      <c r="K413" s="13">
        <f>J413-M413</f>
        <v>4250</v>
      </c>
      <c r="L413" s="7" t="s">
        <v>23</v>
      </c>
      <c r="M413" s="14">
        <f>J413-N413</f>
        <v>70750</v>
      </c>
      <c r="N413" s="15">
        <f>2000+200+350+600+300+800</f>
        <v>4250</v>
      </c>
      <c r="O413" s="39">
        <f>M413+N413</f>
        <v>75000</v>
      </c>
      <c r="P413" s="96"/>
      <c r="Q413" s="77" t="s">
        <v>1370</v>
      </c>
      <c r="R413" s="36"/>
      <c r="S413" s="36">
        <f>R413+O413</f>
        <v>75000</v>
      </c>
      <c r="T413" s="36">
        <f>S413/0.7</f>
        <v>107142.85714285714</v>
      </c>
      <c r="U413" s="40">
        <f>T413/0.875</f>
        <v>122448.97959183673</v>
      </c>
      <c r="V413" s="41">
        <f>(U413-T413)/U413</f>
        <v>0.12499999999999996</v>
      </c>
      <c r="W413" s="40">
        <f>(ROUNDUP((U413/100),0))*100</f>
        <v>122500</v>
      </c>
      <c r="X413" s="42">
        <f>(T413-O413)/T413</f>
        <v>0.3</v>
      </c>
      <c r="Y413" s="43"/>
      <c r="Z413" s="43"/>
      <c r="AA413" s="44"/>
      <c r="AB413" s="60"/>
    </row>
    <row r="414" spans="2:28" ht="14.4" customHeight="1">
      <c r="B414" s="4">
        <v>299</v>
      </c>
      <c r="C414" s="5" t="s">
        <v>37</v>
      </c>
      <c r="D414" s="5" t="str">
        <f>REPLACE(C414,1,3, )</f>
        <v xml:space="preserve"> 222</v>
      </c>
      <c r="E414" s="6" t="s">
        <v>37</v>
      </c>
      <c r="F414" s="7">
        <f>IF(C414=E414,0,1)</f>
        <v>0</v>
      </c>
      <c r="G414" s="11" t="s">
        <v>20</v>
      </c>
      <c r="H414" s="11" t="s">
        <v>313</v>
      </c>
      <c r="I414" s="11" t="s">
        <v>359</v>
      </c>
      <c r="J414" s="12">
        <f>M414</f>
        <v>69000</v>
      </c>
      <c r="K414" s="13">
        <f>J414-M414</f>
        <v>0</v>
      </c>
      <c r="L414" s="17" t="s">
        <v>22</v>
      </c>
      <c r="M414" s="18">
        <v>69000</v>
      </c>
      <c r="N414" s="15">
        <f>2000+200+300+500+800</f>
        <v>3800</v>
      </c>
      <c r="O414" s="39">
        <f>M414+N414</f>
        <v>72800</v>
      </c>
      <c r="P414" s="95"/>
      <c r="Q414" s="3" t="s">
        <v>439</v>
      </c>
      <c r="R414" s="36"/>
      <c r="S414" s="36">
        <f>R414+O414</f>
        <v>72800</v>
      </c>
      <c r="T414" s="36">
        <f>S414/0.7</f>
        <v>104000</v>
      </c>
      <c r="U414" s="40">
        <f>T414/0.875</f>
        <v>118857.14285714286</v>
      </c>
      <c r="V414" s="41">
        <f>(U414-T414)/U414</f>
        <v>0.12499999999999999</v>
      </c>
      <c r="W414" s="40">
        <f>(ROUNDUP((U414/100),0))*100</f>
        <v>118900</v>
      </c>
      <c r="X414" s="42">
        <f>(T414-O414)/T414</f>
        <v>0.3</v>
      </c>
      <c r="Y414" s="45">
        <v>106663</v>
      </c>
      <c r="Z414" s="46">
        <f>T414-Y414</f>
        <v>-2663</v>
      </c>
      <c r="AA414" s="47">
        <f>Z414/Y414</f>
        <v>-2.4966483222860787E-2</v>
      </c>
      <c r="AB414" s="60"/>
    </row>
    <row r="415" spans="2:28" ht="14.4" customHeight="1">
      <c r="B415" s="4">
        <v>300</v>
      </c>
      <c r="C415" s="38" t="s">
        <v>654</v>
      </c>
      <c r="D415" s="5" t="str">
        <f>REPLACE(C415,1,3, )</f>
        <v xml:space="preserve"> 732</v>
      </c>
      <c r="E415" s="6" t="s">
        <v>654</v>
      </c>
      <c r="F415" s="7">
        <f>IF(C415=E415,0,1)</f>
        <v>0</v>
      </c>
      <c r="G415" s="8" t="s">
        <v>20</v>
      </c>
      <c r="H415" s="8" t="s">
        <v>313</v>
      </c>
      <c r="I415" s="8" t="s">
        <v>655</v>
      </c>
      <c r="J415" s="90">
        <v>75000</v>
      </c>
      <c r="K415" s="90">
        <f>J415-M415</f>
        <v>3650</v>
      </c>
      <c r="L415" s="103" t="s">
        <v>1429</v>
      </c>
      <c r="M415" s="87">
        <f>J415-N415</f>
        <v>71350</v>
      </c>
      <c r="N415" s="87">
        <f>2000+650+500+200+300</f>
        <v>3650</v>
      </c>
      <c r="O415" s="101">
        <f>M415+N415</f>
        <v>75000</v>
      </c>
      <c r="P415" s="95"/>
      <c r="Q415" s="88" t="s">
        <v>1406</v>
      </c>
      <c r="R415" s="36"/>
      <c r="S415" s="36">
        <f>R415+O415</f>
        <v>75000</v>
      </c>
      <c r="T415" s="36">
        <f>S415/0.7</f>
        <v>107142.85714285714</v>
      </c>
      <c r="U415" s="40">
        <f>T415/0.875</f>
        <v>122448.97959183673</v>
      </c>
      <c r="V415" s="41">
        <f>(U415-T415)/U415</f>
        <v>0.12499999999999996</v>
      </c>
      <c r="W415" s="40">
        <f>(ROUNDUP((U415/100),0))*100</f>
        <v>122500</v>
      </c>
      <c r="X415" s="42">
        <f>(T415-O415)/T415</f>
        <v>0.3</v>
      </c>
      <c r="Y415" s="45">
        <v>111475</v>
      </c>
      <c r="Z415" s="46">
        <f>T415-Y415</f>
        <v>-4332.1428571428551</v>
      </c>
      <c r="AA415" s="47">
        <f>Z415/Y415</f>
        <v>-3.8862012622945551E-2</v>
      </c>
      <c r="AB415" s="60"/>
    </row>
    <row r="416" spans="2:28" ht="14.4" customHeight="1">
      <c r="B416" s="4">
        <v>301</v>
      </c>
      <c r="C416" s="38" t="s">
        <v>656</v>
      </c>
      <c r="D416" s="5" t="str">
        <f>REPLACE(C416,1,3, )</f>
        <v xml:space="preserve"> 391</v>
      </c>
      <c r="E416" s="6" t="s">
        <v>656</v>
      </c>
      <c r="F416" s="7">
        <f>IF(C416=E416,0,1)</f>
        <v>0</v>
      </c>
      <c r="G416" s="8" t="s">
        <v>20</v>
      </c>
      <c r="H416" s="8" t="s">
        <v>313</v>
      </c>
      <c r="I416" s="8" t="s">
        <v>491</v>
      </c>
      <c r="J416" s="12"/>
      <c r="K416" s="13">
        <f>J416-M416</f>
        <v>0</v>
      </c>
      <c r="L416" s="7"/>
      <c r="M416" s="14">
        <f>J416-N416</f>
        <v>0</v>
      </c>
      <c r="N416" s="15"/>
      <c r="O416" s="39">
        <f>M416+N416</f>
        <v>0</v>
      </c>
      <c r="P416" s="95"/>
      <c r="Q416" s="3"/>
      <c r="R416" s="36"/>
      <c r="S416" s="36">
        <f>R416+O416</f>
        <v>0</v>
      </c>
      <c r="T416" s="36">
        <f>S416/0.7</f>
        <v>0</v>
      </c>
      <c r="U416" s="40">
        <f>T416/0.875</f>
        <v>0</v>
      </c>
      <c r="V416" s="41" t="e">
        <f>(U416-T416)/U416</f>
        <v>#DIV/0!</v>
      </c>
      <c r="W416" s="40">
        <f>(ROUNDUP((U416/100),0))*100</f>
        <v>0</v>
      </c>
      <c r="X416" s="42" t="e">
        <f>(T416-O416)/T416</f>
        <v>#DIV/0!</v>
      </c>
      <c r="Y416" s="45">
        <v>124338</v>
      </c>
      <c r="Z416" s="46">
        <f>T416-Y416</f>
        <v>-124338</v>
      </c>
      <c r="AA416" s="47">
        <f>Z416/Y416</f>
        <v>-1</v>
      </c>
      <c r="AB416" s="60"/>
    </row>
    <row r="417" spans="2:28" ht="14.4" customHeight="1">
      <c r="B417" s="4">
        <v>302</v>
      </c>
      <c r="C417" s="38" t="s">
        <v>657</v>
      </c>
      <c r="D417" s="5" t="str">
        <f>REPLACE(C417,1,3, )</f>
        <v xml:space="preserve"> 776</v>
      </c>
      <c r="E417" s="6" t="s">
        <v>657</v>
      </c>
      <c r="F417" s="7">
        <f>IF(C417=E417,0,1)</f>
        <v>0</v>
      </c>
      <c r="G417" s="8" t="s">
        <v>20</v>
      </c>
      <c r="H417" s="8" t="s">
        <v>313</v>
      </c>
      <c r="I417" s="8" t="s">
        <v>491</v>
      </c>
      <c r="J417" s="12"/>
      <c r="K417" s="13">
        <f>J417-M417</f>
        <v>0</v>
      </c>
      <c r="L417" s="7"/>
      <c r="M417" s="14">
        <f>J417-N417</f>
        <v>0</v>
      </c>
      <c r="N417" s="15"/>
      <c r="O417" s="39">
        <f>M417+N417</f>
        <v>0</v>
      </c>
      <c r="P417" s="95"/>
      <c r="Q417" s="3"/>
      <c r="R417" s="36"/>
      <c r="S417" s="36">
        <f>R417+O417</f>
        <v>0</v>
      </c>
      <c r="T417" s="36">
        <f>S417/0.7</f>
        <v>0</v>
      </c>
      <c r="U417" s="40">
        <f>T417/0.875</f>
        <v>0</v>
      </c>
      <c r="V417" s="41" t="e">
        <f>(U417-T417)/U417</f>
        <v>#DIV/0!</v>
      </c>
      <c r="W417" s="40">
        <f>(ROUNDUP((U417/100),0))*100</f>
        <v>0</v>
      </c>
      <c r="X417" s="42" t="e">
        <f>(T417-O417)/T417</f>
        <v>#DIV/0!</v>
      </c>
      <c r="Y417" s="45">
        <v>124338</v>
      </c>
      <c r="Z417" s="46">
        <f>T417-Y417</f>
        <v>-124338</v>
      </c>
      <c r="AA417" s="47">
        <f>Z417/Y417</f>
        <v>-1</v>
      </c>
      <c r="AB417" s="60"/>
    </row>
    <row r="418" spans="2:28" ht="14.4" customHeight="1">
      <c r="B418" s="4">
        <v>277</v>
      </c>
      <c r="C418" s="38" t="s">
        <v>1546</v>
      </c>
      <c r="D418" s="5" t="str">
        <f>REPLACE(C418,1,3, )</f>
        <v xml:space="preserve"> 821</v>
      </c>
      <c r="E418" s="6" t="s">
        <v>1546</v>
      </c>
      <c r="F418" s="7">
        <f>IF(C418=E418,0,1)</f>
        <v>0</v>
      </c>
      <c r="G418" s="8" t="s">
        <v>298</v>
      </c>
      <c r="H418" s="8" t="s">
        <v>1547</v>
      </c>
      <c r="I418" s="8" t="s">
        <v>510</v>
      </c>
      <c r="J418" s="12">
        <v>84000</v>
      </c>
      <c r="K418" s="13">
        <f>J418-M418</f>
        <v>4250</v>
      </c>
      <c r="L418" s="7" t="s">
        <v>23</v>
      </c>
      <c r="M418" s="14">
        <f>J418-N418</f>
        <v>79750</v>
      </c>
      <c r="N418" s="14">
        <f>2000+200+350+600+300+800</f>
        <v>4250</v>
      </c>
      <c r="O418" s="39">
        <f>M418+N418</f>
        <v>84000</v>
      </c>
      <c r="P418" s="96"/>
      <c r="Q418" s="77" t="s">
        <v>1370</v>
      </c>
      <c r="R418" s="36"/>
      <c r="S418" s="36">
        <f>R418+O418</f>
        <v>84000</v>
      </c>
      <c r="T418" s="36">
        <f>S418/0.7</f>
        <v>120000.00000000001</v>
      </c>
      <c r="U418" s="40">
        <f>T418/0.875</f>
        <v>137142.85714285716</v>
      </c>
      <c r="V418" s="41">
        <f>(U418-T418)/U418</f>
        <v>0.125</v>
      </c>
      <c r="W418" s="40">
        <f>(ROUNDUP((U418/100),0))*100</f>
        <v>137200</v>
      </c>
      <c r="X418" s="42">
        <f>(T418-O418)/T418</f>
        <v>0.3000000000000001</v>
      </c>
      <c r="Y418" s="43"/>
      <c r="Z418" s="43"/>
      <c r="AA418" s="44"/>
      <c r="AB418" s="60"/>
    </row>
    <row r="419" spans="2:28" ht="14.4" customHeight="1">
      <c r="B419" s="4">
        <v>284</v>
      </c>
      <c r="C419" s="5" t="s">
        <v>1548</v>
      </c>
      <c r="D419" s="5" t="str">
        <f>REPLACE(C419,1,3, )</f>
        <v xml:space="preserve"> 266</v>
      </c>
      <c r="E419" s="6" t="s">
        <v>1548</v>
      </c>
      <c r="F419" s="7">
        <f>IF(C419=E419,0,1)</f>
        <v>0</v>
      </c>
      <c r="G419" s="11" t="s">
        <v>298</v>
      </c>
      <c r="H419" s="11" t="s">
        <v>1547</v>
      </c>
      <c r="I419" s="11" t="s">
        <v>510</v>
      </c>
      <c r="J419" s="12">
        <v>84000</v>
      </c>
      <c r="K419" s="13">
        <f>J419-M419</f>
        <v>4250</v>
      </c>
      <c r="L419" s="7" t="s">
        <v>23</v>
      </c>
      <c r="M419" s="14">
        <f>J419-N419</f>
        <v>79750</v>
      </c>
      <c r="N419" s="14">
        <f>2000+200+350+600+300+800</f>
        <v>4250</v>
      </c>
      <c r="O419" s="39">
        <f>M419+N419</f>
        <v>84000</v>
      </c>
      <c r="P419" s="96"/>
      <c r="Q419" s="77" t="s">
        <v>1370</v>
      </c>
      <c r="R419" s="36"/>
      <c r="S419" s="36">
        <f>R419+O419</f>
        <v>84000</v>
      </c>
      <c r="T419" s="36">
        <f>S419/0.7</f>
        <v>120000.00000000001</v>
      </c>
      <c r="U419" s="40">
        <f>T419/0.875</f>
        <v>137142.85714285716</v>
      </c>
      <c r="V419" s="41">
        <f>(U419-T419)/U419</f>
        <v>0.125</v>
      </c>
      <c r="W419" s="40">
        <f>(ROUNDUP((U419/100),0))*100</f>
        <v>137200</v>
      </c>
      <c r="X419" s="42">
        <f>(T419-O419)/T419</f>
        <v>0.3000000000000001</v>
      </c>
      <c r="Y419" s="43"/>
      <c r="Z419" s="43"/>
      <c r="AA419" s="43"/>
      <c r="AB419" s="59"/>
    </row>
    <row r="420" spans="2:28" ht="14.4" customHeight="1">
      <c r="B420" s="4">
        <v>271</v>
      </c>
      <c r="C420" s="38" t="s">
        <v>1347</v>
      </c>
      <c r="D420" s="5" t="str">
        <f>REPLACE(C420,1,3, )</f>
        <v xml:space="preserve"> 556</v>
      </c>
      <c r="E420" s="6" t="s">
        <v>1347</v>
      </c>
      <c r="F420" s="7">
        <f>IF(C420=E420,0,1)</f>
        <v>0</v>
      </c>
      <c r="G420" s="8" t="s">
        <v>298</v>
      </c>
      <c r="H420" s="8" t="s">
        <v>322</v>
      </c>
      <c r="I420" s="8" t="s">
        <v>622</v>
      </c>
      <c r="J420" s="12">
        <v>63000</v>
      </c>
      <c r="K420" s="13">
        <f>J420-M420</f>
        <v>4250</v>
      </c>
      <c r="L420" s="7" t="s">
        <v>23</v>
      </c>
      <c r="M420" s="14">
        <f>J420-N420</f>
        <v>58750</v>
      </c>
      <c r="N420" s="15">
        <f>2000+200+350+600+300+800</f>
        <v>4250</v>
      </c>
      <c r="O420" s="39">
        <f>M420+N420</f>
        <v>63000</v>
      </c>
      <c r="P420" s="95"/>
      <c r="Q420" s="77" t="s">
        <v>1370</v>
      </c>
      <c r="R420" s="36"/>
      <c r="S420" s="36">
        <f>R420+O420</f>
        <v>63000</v>
      </c>
      <c r="T420" s="36">
        <f>S420/0.7</f>
        <v>90000</v>
      </c>
      <c r="U420" s="40">
        <f>T420/0.875</f>
        <v>102857.14285714286</v>
      </c>
      <c r="V420" s="41">
        <f>(U420-T420)/U420</f>
        <v>0.12499999999999999</v>
      </c>
      <c r="W420" s="40">
        <f>(ROUNDUP((U420/100),0))*100</f>
        <v>102900</v>
      </c>
      <c r="X420" s="42">
        <f>(T420-O420)/T420</f>
        <v>0.3</v>
      </c>
      <c r="Y420" s="43"/>
      <c r="Z420" s="43"/>
      <c r="AA420" s="44"/>
      <c r="AB420" s="60"/>
    </row>
    <row r="421" spans="2:28" ht="14.4" customHeight="1">
      <c r="B421" s="4">
        <v>275</v>
      </c>
      <c r="C421" s="38" t="s">
        <v>626</v>
      </c>
      <c r="D421" s="5" t="str">
        <f>REPLACE(C421,1,3, )</f>
        <v xml:space="preserve"> 901</v>
      </c>
      <c r="E421" s="6" t="s">
        <v>626</v>
      </c>
      <c r="F421" s="7">
        <f>IF(C421=E421,0,1)</f>
        <v>0</v>
      </c>
      <c r="G421" s="8" t="s">
        <v>298</v>
      </c>
      <c r="H421" s="8" t="s">
        <v>322</v>
      </c>
      <c r="I421" s="8" t="s">
        <v>622</v>
      </c>
      <c r="J421" s="12">
        <v>63000</v>
      </c>
      <c r="K421" s="13">
        <f>J421-M421</f>
        <v>4250</v>
      </c>
      <c r="L421" s="7" t="s">
        <v>23</v>
      </c>
      <c r="M421" s="14">
        <f>J421-N421</f>
        <v>58750</v>
      </c>
      <c r="N421" s="15">
        <f>2000+200+350+600+300+800</f>
        <v>4250</v>
      </c>
      <c r="O421" s="39">
        <f>M421+N421</f>
        <v>63000</v>
      </c>
      <c r="P421" s="95"/>
      <c r="Q421" s="77" t="s">
        <v>1370</v>
      </c>
      <c r="R421" s="36"/>
      <c r="S421" s="36">
        <f>R421+O421</f>
        <v>63000</v>
      </c>
      <c r="T421" s="36">
        <f>S421/0.7</f>
        <v>90000</v>
      </c>
      <c r="U421" s="40">
        <f>T421/0.875</f>
        <v>102857.14285714286</v>
      </c>
      <c r="V421" s="41">
        <f>(U421-T421)/U421</f>
        <v>0.12499999999999999</v>
      </c>
      <c r="W421" s="40">
        <f>(ROUNDUP((U421/100),0))*100</f>
        <v>102900</v>
      </c>
      <c r="X421" s="42">
        <f>(T421-O421)/T421</f>
        <v>0.3</v>
      </c>
      <c r="Y421" s="43"/>
      <c r="Z421" s="43"/>
      <c r="AA421" s="44"/>
      <c r="AB421" s="60"/>
    </row>
    <row r="422" spans="2:28" ht="14.4" customHeight="1">
      <c r="B422" s="4">
        <v>278</v>
      </c>
      <c r="C422" s="5" t="s">
        <v>250</v>
      </c>
      <c r="D422" s="5" t="str">
        <f>REPLACE(C422,1,3, )</f>
        <v xml:space="preserve"> 447</v>
      </c>
      <c r="E422" s="6" t="s">
        <v>250</v>
      </c>
      <c r="F422" s="7">
        <f>IF(C422=E422,0,1)</f>
        <v>0</v>
      </c>
      <c r="G422" s="11" t="s">
        <v>298</v>
      </c>
      <c r="H422" s="11" t="s">
        <v>322</v>
      </c>
      <c r="I422" s="11" t="s">
        <v>359</v>
      </c>
      <c r="J422" s="12">
        <f>M422</f>
        <v>59000</v>
      </c>
      <c r="K422" s="13">
        <f>J422-M422</f>
        <v>0</v>
      </c>
      <c r="L422" s="17" t="s">
        <v>22</v>
      </c>
      <c r="M422" s="18">
        <v>59000</v>
      </c>
      <c r="N422" s="15">
        <f>2000+200+350+600+300+800</f>
        <v>4250</v>
      </c>
      <c r="O422" s="39">
        <f>M422+N422</f>
        <v>63250</v>
      </c>
      <c r="P422" s="95"/>
      <c r="Q422" s="3" t="s">
        <v>442</v>
      </c>
      <c r="R422" s="36"/>
      <c r="S422" s="36">
        <f>R422+O422</f>
        <v>63250</v>
      </c>
      <c r="T422" s="36">
        <f>S422/0.7</f>
        <v>90357.14285714287</v>
      </c>
      <c r="U422" s="40">
        <f>T422/0.875</f>
        <v>103265.30612244899</v>
      </c>
      <c r="V422" s="41">
        <f>(U422-T422)/U422</f>
        <v>0.125</v>
      </c>
      <c r="W422" s="40">
        <f>(ROUNDUP((U422/100),0))*100</f>
        <v>103300</v>
      </c>
      <c r="X422" s="42">
        <f>(T422-O422)/T422</f>
        <v>0.3000000000000001</v>
      </c>
      <c r="Y422" s="43"/>
      <c r="Z422" s="43"/>
      <c r="AA422" s="43"/>
      <c r="AB422" s="59"/>
    </row>
    <row r="423" spans="2:28" ht="14.4" customHeight="1">
      <c r="B423" s="4">
        <v>279</v>
      </c>
      <c r="C423" s="38" t="s">
        <v>630</v>
      </c>
      <c r="D423" s="5" t="str">
        <f>REPLACE(C423,1,3, )</f>
        <v xml:space="preserve"> 886</v>
      </c>
      <c r="E423" s="6" t="s">
        <v>630</v>
      </c>
      <c r="F423" s="7">
        <f>IF(C423=E423,0,1)</f>
        <v>0</v>
      </c>
      <c r="G423" s="8" t="s">
        <v>20</v>
      </c>
      <c r="H423" s="8" t="s">
        <v>322</v>
      </c>
      <c r="I423" s="8" t="s">
        <v>631</v>
      </c>
      <c r="J423" s="90">
        <v>55000</v>
      </c>
      <c r="K423" s="90">
        <f>J423-M423</f>
        <v>0</v>
      </c>
      <c r="L423" s="104" t="s">
        <v>1428</v>
      </c>
      <c r="M423" s="86">
        <f>J423</f>
        <v>55000</v>
      </c>
      <c r="N423" s="87">
        <f>2000+650+500+200+300+500</f>
        <v>4150</v>
      </c>
      <c r="O423" s="101">
        <f>M423+N423</f>
        <v>59150</v>
      </c>
      <c r="P423" s="95"/>
      <c r="Q423" s="88" t="s">
        <v>1414</v>
      </c>
      <c r="R423" s="36"/>
      <c r="S423" s="36">
        <f>R423+O423</f>
        <v>59150</v>
      </c>
      <c r="T423" s="36">
        <f>S423/0.7</f>
        <v>84500</v>
      </c>
      <c r="U423" s="40">
        <f>T423/0.875</f>
        <v>96571.428571428565</v>
      </c>
      <c r="V423" s="41">
        <f>(U423-T423)/U423</f>
        <v>0.12499999999999994</v>
      </c>
      <c r="W423" s="40">
        <f>(ROUNDUP((U423/100),0))*100</f>
        <v>96600</v>
      </c>
      <c r="X423" s="42">
        <f>(T423-O423)/T423</f>
        <v>0.3</v>
      </c>
      <c r="Y423" s="45">
        <v>87413</v>
      </c>
      <c r="Z423" s="46">
        <f>T423-Y423</f>
        <v>-2913</v>
      </c>
      <c r="AA423" s="47">
        <f>Z423/Y423</f>
        <v>-3.3324562708064019E-2</v>
      </c>
      <c r="AB423" s="60"/>
    </row>
    <row r="424" spans="2:28" ht="14.4" customHeight="1">
      <c r="B424" s="4">
        <v>280</v>
      </c>
      <c r="C424" s="5" t="s">
        <v>249</v>
      </c>
      <c r="D424" s="5" t="str">
        <f>REPLACE(C424,1,3, )</f>
        <v xml:space="preserve"> 757</v>
      </c>
      <c r="E424" s="6" t="s">
        <v>249</v>
      </c>
      <c r="F424" s="7">
        <f>IF(C424=E424,0,1)</f>
        <v>0</v>
      </c>
      <c r="G424" s="11" t="s">
        <v>298</v>
      </c>
      <c r="H424" s="11" t="s">
        <v>322</v>
      </c>
      <c r="I424" s="11" t="s">
        <v>359</v>
      </c>
      <c r="J424" s="12">
        <f>M424</f>
        <v>59000</v>
      </c>
      <c r="K424" s="13">
        <f>J424-M424</f>
        <v>0</v>
      </c>
      <c r="L424" s="17" t="s">
        <v>22</v>
      </c>
      <c r="M424" s="18">
        <v>59000</v>
      </c>
      <c r="N424" s="15">
        <f>2000+200+350+600+300+800</f>
        <v>4250</v>
      </c>
      <c r="O424" s="39">
        <f>M424+N424</f>
        <v>63250</v>
      </c>
      <c r="P424" s="95"/>
      <c r="Q424" s="3" t="s">
        <v>441</v>
      </c>
      <c r="R424" s="36"/>
      <c r="S424" s="36">
        <f>R424+O424</f>
        <v>63250</v>
      </c>
      <c r="T424" s="36">
        <f>S424/0.7</f>
        <v>90357.14285714287</v>
      </c>
      <c r="U424" s="40">
        <f>T424/0.875</f>
        <v>103265.30612244899</v>
      </c>
      <c r="V424" s="41">
        <f>(U424-T424)/U424</f>
        <v>0.125</v>
      </c>
      <c r="W424" s="40">
        <f>(ROUNDUP((U424/100),0))*100</f>
        <v>103300</v>
      </c>
      <c r="X424" s="42">
        <f>(T424-O424)/T424</f>
        <v>0.3000000000000001</v>
      </c>
      <c r="Y424" s="43"/>
      <c r="Z424" s="43"/>
      <c r="AA424" s="44"/>
      <c r="AB424" s="60"/>
    </row>
    <row r="425" spans="2:28" ht="14.4" customHeight="1">
      <c r="B425" s="4">
        <v>281</v>
      </c>
      <c r="C425" s="38" t="s">
        <v>632</v>
      </c>
      <c r="D425" s="5" t="str">
        <f>REPLACE(C425,1,3, )</f>
        <v xml:space="preserve"> 991</v>
      </c>
      <c r="E425" s="6" t="s">
        <v>632</v>
      </c>
      <c r="F425" s="7">
        <f>IF(C425=E425,0,1)</f>
        <v>0</v>
      </c>
      <c r="G425" s="8" t="s">
        <v>20</v>
      </c>
      <c r="H425" s="8" t="s">
        <v>322</v>
      </c>
      <c r="I425" s="8" t="s">
        <v>633</v>
      </c>
      <c r="J425" s="90">
        <v>54000</v>
      </c>
      <c r="K425" s="90">
        <f>J425-M425</f>
        <v>0</v>
      </c>
      <c r="L425" s="104" t="s">
        <v>1428</v>
      </c>
      <c r="M425" s="86">
        <f>J425</f>
        <v>54000</v>
      </c>
      <c r="N425" s="87">
        <f>2000+650+500+200+300</f>
        <v>3650</v>
      </c>
      <c r="O425" s="101">
        <f>M425+N425</f>
        <v>57650</v>
      </c>
      <c r="P425" s="95"/>
      <c r="Q425" s="88" t="s">
        <v>1406</v>
      </c>
      <c r="R425" s="36"/>
      <c r="S425" s="36">
        <f>R425+O425</f>
        <v>57650</v>
      </c>
      <c r="T425" s="36">
        <f>S425/0.7</f>
        <v>82357.14285714287</v>
      </c>
      <c r="U425" s="40">
        <f>T425/0.875</f>
        <v>94122.448979591849</v>
      </c>
      <c r="V425" s="41">
        <f>(U425-T425)/U425</f>
        <v>0.12499999999999999</v>
      </c>
      <c r="W425" s="40">
        <f>(ROUNDUP((U425/100),0))*100</f>
        <v>94200</v>
      </c>
      <c r="X425" s="42">
        <f>(T425-O425)/T425</f>
        <v>0.3000000000000001</v>
      </c>
      <c r="Y425" s="45">
        <v>85225</v>
      </c>
      <c r="Z425" s="46">
        <f>T425-Y425</f>
        <v>-2867.8571428571304</v>
      </c>
      <c r="AA425" s="47">
        <f>Z425/Y425</f>
        <v>-3.365042115408777E-2</v>
      </c>
      <c r="AB425" s="60"/>
    </row>
    <row r="426" spans="2:28" ht="14.4" customHeight="1">
      <c r="B426" s="4">
        <v>282</v>
      </c>
      <c r="C426" s="38" t="s">
        <v>634</v>
      </c>
      <c r="D426" s="5" t="str">
        <f>REPLACE(C426,1,3, )</f>
        <v xml:space="preserve"> 150</v>
      </c>
      <c r="E426" s="6" t="s">
        <v>634</v>
      </c>
      <c r="F426" s="7">
        <f>IF(C426=E426,0,1)</f>
        <v>0</v>
      </c>
      <c r="G426" s="8" t="s">
        <v>298</v>
      </c>
      <c r="H426" s="8" t="s">
        <v>322</v>
      </c>
      <c r="I426" s="8" t="s">
        <v>510</v>
      </c>
      <c r="J426" s="12">
        <v>63000</v>
      </c>
      <c r="K426" s="13">
        <f>J426-M426</f>
        <v>4250</v>
      </c>
      <c r="L426" s="7" t="s">
        <v>23</v>
      </c>
      <c r="M426" s="14">
        <f>J426-N426</f>
        <v>58750</v>
      </c>
      <c r="N426" s="15">
        <f>2000+200+350+600+300+800</f>
        <v>4250</v>
      </c>
      <c r="O426" s="39">
        <f>M426+N426</f>
        <v>63000</v>
      </c>
      <c r="P426" s="95"/>
      <c r="Q426" s="77" t="s">
        <v>1370</v>
      </c>
      <c r="R426" s="36"/>
      <c r="S426" s="36">
        <f>R426+O426</f>
        <v>63000</v>
      </c>
      <c r="T426" s="36">
        <f>S426/0.7</f>
        <v>90000</v>
      </c>
      <c r="U426" s="40">
        <f>T426/0.875</f>
        <v>102857.14285714286</v>
      </c>
      <c r="V426" s="41">
        <f>(U426-T426)/U426</f>
        <v>0.12499999999999999</v>
      </c>
      <c r="W426" s="40">
        <f>(ROUNDUP((U426/100),0))*100</f>
        <v>102900</v>
      </c>
      <c r="X426" s="42">
        <f>(T426-O426)/T426</f>
        <v>0.3</v>
      </c>
      <c r="Y426" s="43"/>
      <c r="Z426" s="43"/>
      <c r="AA426" s="44"/>
      <c r="AB426" s="60"/>
    </row>
    <row r="427" spans="2:28" ht="14.4" customHeight="1">
      <c r="B427" s="4">
        <v>283</v>
      </c>
      <c r="C427" s="38" t="s">
        <v>635</v>
      </c>
      <c r="D427" s="5" t="str">
        <f>REPLACE(C427,1,3, )</f>
        <v xml:space="preserve"> 684</v>
      </c>
      <c r="E427" s="6" t="s">
        <v>635</v>
      </c>
      <c r="F427" s="7">
        <f>IF(C427=E427,0,1)</f>
        <v>0</v>
      </c>
      <c r="G427" s="8" t="s">
        <v>298</v>
      </c>
      <c r="H427" s="8" t="s">
        <v>322</v>
      </c>
      <c r="I427" s="8" t="s">
        <v>622</v>
      </c>
      <c r="J427" s="12">
        <v>63000</v>
      </c>
      <c r="K427" s="13">
        <f>J427-M427</f>
        <v>4250</v>
      </c>
      <c r="L427" s="7" t="s">
        <v>23</v>
      </c>
      <c r="M427" s="14">
        <f>J427-N427</f>
        <v>58750</v>
      </c>
      <c r="N427" s="15">
        <f>2000+200+350+600+300+800</f>
        <v>4250</v>
      </c>
      <c r="O427" s="39">
        <f>M427+N427</f>
        <v>63000</v>
      </c>
      <c r="P427" s="95"/>
      <c r="Q427" s="77" t="s">
        <v>1370</v>
      </c>
      <c r="R427" s="36"/>
      <c r="S427" s="36">
        <f>R427+O427</f>
        <v>63000</v>
      </c>
      <c r="T427" s="36">
        <f>S427/0.7</f>
        <v>90000</v>
      </c>
      <c r="U427" s="40">
        <f>T427/0.875</f>
        <v>102857.14285714286</v>
      </c>
      <c r="V427" s="41">
        <f>(U427-T427)/U427</f>
        <v>0.12499999999999999</v>
      </c>
      <c r="W427" s="40">
        <f>(ROUNDUP((U427/100),0))*100</f>
        <v>102900</v>
      </c>
      <c r="X427" s="42">
        <f>(T427-O427)/T427</f>
        <v>0.3</v>
      </c>
      <c r="Y427" s="43"/>
      <c r="Z427" s="43"/>
      <c r="AA427" s="44"/>
      <c r="AB427" s="60"/>
    </row>
    <row r="428" spans="2:28" ht="14.4" customHeight="1">
      <c r="B428" s="4">
        <v>295</v>
      </c>
      <c r="C428" s="38" t="s">
        <v>651</v>
      </c>
      <c r="D428" s="5" t="str">
        <f>REPLACE(C428,1,3, )</f>
        <v xml:space="preserve"> 717</v>
      </c>
      <c r="E428" s="6" t="s">
        <v>651</v>
      </c>
      <c r="F428" s="7">
        <f>IF(C428=E428,0,1)</f>
        <v>0</v>
      </c>
      <c r="G428" s="8" t="s">
        <v>298</v>
      </c>
      <c r="H428" s="8" t="s">
        <v>322</v>
      </c>
      <c r="I428" s="8" t="s">
        <v>622</v>
      </c>
      <c r="J428" s="12">
        <v>63000</v>
      </c>
      <c r="K428" s="13">
        <f>J428-M428</f>
        <v>4250</v>
      </c>
      <c r="L428" s="7" t="s">
        <v>23</v>
      </c>
      <c r="M428" s="14">
        <f>J428-N428</f>
        <v>58750</v>
      </c>
      <c r="N428" s="15">
        <f>2000+200+350+600+300+800</f>
        <v>4250</v>
      </c>
      <c r="O428" s="39">
        <f>M428+N428</f>
        <v>63000</v>
      </c>
      <c r="P428" s="95"/>
      <c r="Q428" s="77" t="s">
        <v>1370</v>
      </c>
      <c r="R428" s="36"/>
      <c r="S428" s="36">
        <f>R428+O428</f>
        <v>63000</v>
      </c>
      <c r="T428" s="36">
        <f>S428/0.7</f>
        <v>90000</v>
      </c>
      <c r="U428" s="40">
        <f>T428/0.875</f>
        <v>102857.14285714286</v>
      </c>
      <c r="V428" s="41">
        <f>(U428-T428)/U428</f>
        <v>0.12499999999999999</v>
      </c>
      <c r="W428" s="40">
        <f>(ROUNDUP((U428/100),0))*100</f>
        <v>102900</v>
      </c>
      <c r="X428" s="42">
        <f>(T428-O428)/T428</f>
        <v>0.3</v>
      </c>
      <c r="Y428" s="43"/>
      <c r="Z428" s="43"/>
      <c r="AA428" s="44"/>
      <c r="AB428" s="60"/>
    </row>
    <row r="429" spans="2:28" ht="14.4" customHeight="1">
      <c r="B429" s="4">
        <v>296</v>
      </c>
      <c r="C429" s="38" t="s">
        <v>621</v>
      </c>
      <c r="D429" s="5" t="str">
        <f>REPLACE(C429,1,3, )</f>
        <v xml:space="preserve"> 557</v>
      </c>
      <c r="E429" s="6" t="s">
        <v>621</v>
      </c>
      <c r="F429" s="7">
        <f>IF(C429=E429,0,1)</f>
        <v>0</v>
      </c>
      <c r="G429" s="8" t="s">
        <v>298</v>
      </c>
      <c r="H429" s="8" t="s">
        <v>322</v>
      </c>
      <c r="I429" s="8" t="s">
        <v>622</v>
      </c>
      <c r="J429" s="12">
        <v>63000</v>
      </c>
      <c r="K429" s="13">
        <f>J429-M429</f>
        <v>4250</v>
      </c>
      <c r="L429" s="7" t="s">
        <v>23</v>
      </c>
      <c r="M429" s="14">
        <f>J429-N429</f>
        <v>58750</v>
      </c>
      <c r="N429" s="15">
        <f>2000+200+350+600+300+800</f>
        <v>4250</v>
      </c>
      <c r="O429" s="39">
        <f>M429+N429</f>
        <v>63000</v>
      </c>
      <c r="P429" s="95"/>
      <c r="Q429" s="77" t="s">
        <v>1370</v>
      </c>
      <c r="R429" s="36"/>
      <c r="S429" s="36">
        <f>R429+O429</f>
        <v>63000</v>
      </c>
      <c r="T429" s="36">
        <f>S429/0.7</f>
        <v>90000</v>
      </c>
      <c r="U429" s="40">
        <f>T429/0.875</f>
        <v>102857.14285714286</v>
      </c>
      <c r="V429" s="41">
        <f>(U429-T429)/U429</f>
        <v>0.12499999999999999</v>
      </c>
      <c r="W429" s="40">
        <f>(ROUNDUP((U429/100),0))*100</f>
        <v>102900</v>
      </c>
      <c r="X429" s="42">
        <f>(T429-O429)/T429</f>
        <v>0.3</v>
      </c>
      <c r="Y429" s="43"/>
      <c r="Z429" s="43"/>
      <c r="AA429" s="44"/>
      <c r="AB429" s="60"/>
    </row>
    <row r="430" spans="2:28" ht="14.4" customHeight="1">
      <c r="B430" s="4">
        <v>304</v>
      </c>
      <c r="C430" s="5" t="s">
        <v>90</v>
      </c>
      <c r="D430" s="5" t="str">
        <f>REPLACE(C430,1,3, )</f>
        <v xml:space="preserve"> 822</v>
      </c>
      <c r="E430" s="6" t="s">
        <v>90</v>
      </c>
      <c r="F430" s="7">
        <f>IF(C430=E430,0,1)</f>
        <v>0</v>
      </c>
      <c r="G430" s="11" t="s">
        <v>20</v>
      </c>
      <c r="H430" s="11" t="s">
        <v>322</v>
      </c>
      <c r="I430" s="11" t="s">
        <v>359</v>
      </c>
      <c r="J430" s="12"/>
      <c r="K430" s="13">
        <f>J430-M430</f>
        <v>0</v>
      </c>
      <c r="L430" s="7"/>
      <c r="M430" s="14">
        <f>J430-N430</f>
        <v>0</v>
      </c>
      <c r="N430" s="15"/>
      <c r="O430" s="39">
        <f>M430+N430</f>
        <v>0</v>
      </c>
      <c r="P430" s="95"/>
      <c r="Q430" s="3"/>
      <c r="R430" s="36"/>
      <c r="S430" s="36">
        <f>R430+O430</f>
        <v>0</v>
      </c>
      <c r="T430" s="36">
        <f>S430/0.7</f>
        <v>0</v>
      </c>
      <c r="U430" s="40">
        <f>T430/0.875</f>
        <v>0</v>
      </c>
      <c r="V430" s="41" t="e">
        <f>(U430-T430)/U430</f>
        <v>#DIV/0!</v>
      </c>
      <c r="W430" s="40">
        <f>(ROUNDUP((U430/100),0))*100</f>
        <v>0</v>
      </c>
      <c r="X430" s="42" t="e">
        <f>(T430-O430)/T430</f>
        <v>#DIV/0!</v>
      </c>
      <c r="Y430" s="45">
        <v>87150</v>
      </c>
      <c r="Z430" s="46">
        <f>T430-Y430</f>
        <v>-87150</v>
      </c>
      <c r="AA430" s="47">
        <f>Z430/Y430</f>
        <v>-1</v>
      </c>
      <c r="AB430" s="60"/>
    </row>
    <row r="431" spans="2:28" ht="14.4" customHeight="1">
      <c r="B431" s="4">
        <v>269</v>
      </c>
      <c r="C431" s="38" t="s">
        <v>617</v>
      </c>
      <c r="D431" s="5" t="str">
        <f>REPLACE(C431,1,3, )</f>
        <v xml:space="preserve"> 861</v>
      </c>
      <c r="E431" s="6" t="s">
        <v>617</v>
      </c>
      <c r="F431" s="7">
        <f>IF(C431=E431,0,1)</f>
        <v>0</v>
      </c>
      <c r="G431" s="8" t="s">
        <v>20</v>
      </c>
      <c r="H431" s="8" t="s">
        <v>618</v>
      </c>
      <c r="I431" s="8" t="s">
        <v>582</v>
      </c>
      <c r="J431" s="12">
        <v>47000</v>
      </c>
      <c r="K431" s="13">
        <f>J431-M431</f>
        <v>3950</v>
      </c>
      <c r="L431" s="7" t="s">
        <v>23</v>
      </c>
      <c r="M431" s="14">
        <f>J431-N431</f>
        <v>43050</v>
      </c>
      <c r="N431" s="14">
        <f>2000+200+350+600+800</f>
        <v>3950</v>
      </c>
      <c r="O431" s="39">
        <f>M431+N431</f>
        <v>47000</v>
      </c>
      <c r="P431" s="96"/>
      <c r="Q431" s="77" t="s">
        <v>1436</v>
      </c>
      <c r="R431" s="36"/>
      <c r="S431" s="36">
        <f>R431+O431</f>
        <v>47000</v>
      </c>
      <c r="T431" s="36">
        <f>S431/0.7</f>
        <v>67142.857142857145</v>
      </c>
      <c r="U431" s="40">
        <f>T431/0.875</f>
        <v>76734.693877551021</v>
      </c>
      <c r="V431" s="41">
        <f>(U431-T431)/U431</f>
        <v>0.12499999999999997</v>
      </c>
      <c r="W431" s="40">
        <f>(ROUNDUP((U431/100),0))*100</f>
        <v>76800</v>
      </c>
      <c r="X431" s="42">
        <f>(T431-O431)/T431</f>
        <v>0.30000000000000004</v>
      </c>
      <c r="Y431" s="45">
        <v>69300</v>
      </c>
      <c r="Z431" s="46">
        <f>T431-Y431</f>
        <v>-2157.1428571428551</v>
      </c>
      <c r="AA431" s="47">
        <f>Z431/Y431</f>
        <v>-3.1127602556173955E-2</v>
      </c>
      <c r="AB431" s="60"/>
    </row>
    <row r="432" spans="2:28" ht="14.4" customHeight="1">
      <c r="B432" s="4">
        <v>270</v>
      </c>
      <c r="C432" s="38" t="s">
        <v>619</v>
      </c>
      <c r="D432" s="5" t="str">
        <f>REPLACE(C432,1,3, )</f>
        <v xml:space="preserve"> 115</v>
      </c>
      <c r="E432" s="6" t="s">
        <v>619</v>
      </c>
      <c r="F432" s="7">
        <f>IF(C432=E432,0,1)</f>
        <v>0</v>
      </c>
      <c r="G432" s="8" t="s">
        <v>20</v>
      </c>
      <c r="H432" s="8" t="s">
        <v>618</v>
      </c>
      <c r="I432" s="8" t="s">
        <v>620</v>
      </c>
      <c r="J432" s="90">
        <v>48000</v>
      </c>
      <c r="K432" s="90">
        <f>J432-M432</f>
        <v>3650</v>
      </c>
      <c r="L432" s="103" t="s">
        <v>1429</v>
      </c>
      <c r="M432" s="87">
        <f>J432-N432</f>
        <v>44350</v>
      </c>
      <c r="N432" s="87">
        <f>2000+650+500+200+300</f>
        <v>3650</v>
      </c>
      <c r="O432" s="101">
        <f>M432+N432</f>
        <v>48000</v>
      </c>
      <c r="P432" s="95"/>
      <c r="Q432" s="88" t="s">
        <v>1406</v>
      </c>
      <c r="R432" s="36"/>
      <c r="S432" s="36">
        <f>R432+O432</f>
        <v>48000</v>
      </c>
      <c r="T432" s="36">
        <f>S432/0.7</f>
        <v>68571.42857142858</v>
      </c>
      <c r="U432" s="40">
        <f>T432/0.875</f>
        <v>78367.346938775518</v>
      </c>
      <c r="V432" s="41">
        <f>(U432-T432)/U432</f>
        <v>0.12499999999999997</v>
      </c>
      <c r="W432" s="40">
        <f>(ROUNDUP((U432/100),0))*100</f>
        <v>78400</v>
      </c>
      <c r="X432" s="42">
        <f>(T432-O432)/T432</f>
        <v>0.3000000000000001</v>
      </c>
      <c r="Y432" s="45">
        <v>83300</v>
      </c>
      <c r="Z432" s="46">
        <f>T432-Y432</f>
        <v>-14728.57142857142</v>
      </c>
      <c r="AA432" s="47">
        <f>Z432/Y432</f>
        <v>-0.17681358257588739</v>
      </c>
      <c r="AB432" s="60"/>
    </row>
    <row r="433" spans="2:76" ht="14.4" customHeight="1">
      <c r="B433" s="4">
        <v>272</v>
      </c>
      <c r="C433" s="38" t="s">
        <v>623</v>
      </c>
      <c r="D433" s="5" t="str">
        <f>REPLACE(C433,1,3, )</f>
        <v xml:space="preserve"> 337</v>
      </c>
      <c r="E433" s="6" t="s">
        <v>623</v>
      </c>
      <c r="F433" s="7">
        <f>IF(C433=E433,0,1)</f>
        <v>0</v>
      </c>
      <c r="G433" s="8" t="s">
        <v>298</v>
      </c>
      <c r="H433" s="8" t="s">
        <v>618</v>
      </c>
      <c r="I433" s="8" t="s">
        <v>622</v>
      </c>
      <c r="J433" s="12"/>
      <c r="K433" s="13">
        <f>J433-M433</f>
        <v>0</v>
      </c>
      <c r="L433" s="7"/>
      <c r="M433" s="14">
        <f>J433-N433</f>
        <v>0</v>
      </c>
      <c r="N433" s="14"/>
      <c r="O433" s="39">
        <f>M433+N433</f>
        <v>0</v>
      </c>
      <c r="P433" s="96"/>
      <c r="Q433" s="3"/>
      <c r="R433" s="36"/>
      <c r="S433" s="36">
        <f>R433+O433</f>
        <v>0</v>
      </c>
      <c r="T433" s="36">
        <f>S433/0.7</f>
        <v>0</v>
      </c>
      <c r="U433" s="40">
        <f>T433/0.875</f>
        <v>0</v>
      </c>
      <c r="V433" s="41" t="e">
        <f>(U433-T433)/U433</f>
        <v>#DIV/0!</v>
      </c>
      <c r="W433" s="40">
        <f>(ROUNDUP((U433/100),0))*100</f>
        <v>0</v>
      </c>
      <c r="X433" s="42" t="e">
        <f>(T433-O433)/T433</f>
        <v>#DIV/0!</v>
      </c>
      <c r="Y433" s="43"/>
      <c r="Z433" s="43"/>
      <c r="AA433" s="44"/>
      <c r="AB433" s="60"/>
    </row>
    <row r="434" spans="2:76" ht="14.4" customHeight="1">
      <c r="B434" s="4">
        <v>273</v>
      </c>
      <c r="C434" s="38" t="s">
        <v>624</v>
      </c>
      <c r="D434" s="5" t="str">
        <f>REPLACE(C434,1,3, )</f>
        <v xml:space="preserve"> 218</v>
      </c>
      <c r="E434" s="6" t="s">
        <v>624</v>
      </c>
      <c r="F434" s="7">
        <f>IF(C434=E434,0,1)</f>
        <v>0</v>
      </c>
      <c r="G434" s="8" t="s">
        <v>298</v>
      </c>
      <c r="H434" s="8" t="s">
        <v>618</v>
      </c>
      <c r="I434" s="8" t="s">
        <v>622</v>
      </c>
      <c r="J434" s="12"/>
      <c r="K434" s="13">
        <f>J434-M434</f>
        <v>0</v>
      </c>
      <c r="L434" s="7"/>
      <c r="M434" s="14">
        <f>J434-N434</f>
        <v>0</v>
      </c>
      <c r="N434" s="14"/>
      <c r="O434" s="39">
        <f>M434+N434</f>
        <v>0</v>
      </c>
      <c r="P434" s="96"/>
      <c r="Q434" s="3"/>
      <c r="R434" s="36"/>
      <c r="S434" s="36">
        <f>R434+O434</f>
        <v>0</v>
      </c>
      <c r="T434" s="36">
        <f>S434/0.7</f>
        <v>0</v>
      </c>
      <c r="U434" s="40">
        <f>T434/0.875</f>
        <v>0</v>
      </c>
      <c r="V434" s="41" t="e">
        <f>(U434-T434)/U434</f>
        <v>#DIV/0!</v>
      </c>
      <c r="W434" s="40">
        <f>(ROUNDUP((U434/100),0))*100</f>
        <v>0</v>
      </c>
      <c r="X434" s="42" t="e">
        <f>(T434-O434)/T434</f>
        <v>#DIV/0!</v>
      </c>
      <c r="Y434" s="43"/>
      <c r="Z434" s="43"/>
      <c r="AA434" s="44"/>
      <c r="AB434" s="60"/>
    </row>
    <row r="435" spans="2:76" ht="14.4" customHeight="1">
      <c r="B435" s="4">
        <v>274</v>
      </c>
      <c r="C435" s="38" t="s">
        <v>625</v>
      </c>
      <c r="D435" s="5" t="str">
        <f>REPLACE(C435,1,3, )</f>
        <v xml:space="preserve"> 278</v>
      </c>
      <c r="E435" s="6" t="s">
        <v>625</v>
      </c>
      <c r="F435" s="7">
        <f>IF(C435=E435,0,1)</f>
        <v>0</v>
      </c>
      <c r="G435" s="8" t="s">
        <v>298</v>
      </c>
      <c r="H435" s="8" t="s">
        <v>618</v>
      </c>
      <c r="I435" s="8" t="s">
        <v>622</v>
      </c>
      <c r="J435" s="12"/>
      <c r="K435" s="13">
        <f>J435-M435</f>
        <v>0</v>
      </c>
      <c r="L435" s="7"/>
      <c r="M435" s="14">
        <f>J435-N435</f>
        <v>0</v>
      </c>
      <c r="N435" s="14"/>
      <c r="O435" s="39">
        <f>M435+N435</f>
        <v>0</v>
      </c>
      <c r="P435" s="96"/>
      <c r="Q435" s="3"/>
      <c r="R435" s="36"/>
      <c r="S435" s="36">
        <f>R435+O435</f>
        <v>0</v>
      </c>
      <c r="T435" s="36">
        <f>S435/0.7</f>
        <v>0</v>
      </c>
      <c r="U435" s="40">
        <f>T435/0.875</f>
        <v>0</v>
      </c>
      <c r="V435" s="41" t="e">
        <f>(U435-T435)/U435</f>
        <v>#DIV/0!</v>
      </c>
      <c r="W435" s="40">
        <f>(ROUNDUP((U435/100),0))*100</f>
        <v>0</v>
      </c>
      <c r="X435" s="42" t="e">
        <f>(T435-O435)/T435</f>
        <v>#DIV/0!</v>
      </c>
      <c r="Y435" s="43"/>
      <c r="Z435" s="43"/>
      <c r="AA435" s="44"/>
      <c r="AB435" s="60"/>
    </row>
    <row r="436" spans="2:76" ht="14.4" customHeight="1">
      <c r="B436" s="4">
        <v>276</v>
      </c>
      <c r="C436" s="38" t="s">
        <v>627</v>
      </c>
      <c r="D436" s="5" t="str">
        <f>REPLACE(C436,1,3, )</f>
        <v xml:space="preserve"> 733</v>
      </c>
      <c r="E436" s="6" t="s">
        <v>627</v>
      </c>
      <c r="F436" s="7">
        <f>IF(C436=E436,0,1)</f>
        <v>0</v>
      </c>
      <c r="G436" s="8" t="s">
        <v>20</v>
      </c>
      <c r="H436" s="8" t="s">
        <v>618</v>
      </c>
      <c r="I436" s="8" t="s">
        <v>628</v>
      </c>
      <c r="J436" s="90">
        <v>47000</v>
      </c>
      <c r="K436" s="90">
        <f>J436-M436</f>
        <v>0</v>
      </c>
      <c r="L436" s="184" t="s">
        <v>22</v>
      </c>
      <c r="M436" s="86">
        <f>J436</f>
        <v>47000</v>
      </c>
      <c r="N436" s="87">
        <f>2000+650+500+200+300</f>
        <v>3650</v>
      </c>
      <c r="O436" s="101">
        <f>M436+N436</f>
        <v>50650</v>
      </c>
      <c r="P436" s="95"/>
      <c r="Q436" s="88" t="s">
        <v>1406</v>
      </c>
      <c r="R436" s="36"/>
      <c r="S436" s="36">
        <f>R436+O436</f>
        <v>50650</v>
      </c>
      <c r="T436" s="36">
        <f>S436/0.7</f>
        <v>72357.142857142855</v>
      </c>
      <c r="U436" s="40">
        <f>T436/0.875</f>
        <v>82693.8775510204</v>
      </c>
      <c r="V436" s="41">
        <f>(U436-T436)/U436</f>
        <v>0.12499999999999993</v>
      </c>
      <c r="W436" s="40">
        <f>(ROUNDUP((U436/100),0))*100</f>
        <v>82700</v>
      </c>
      <c r="X436" s="42">
        <f>(T436-O436)/T436</f>
        <v>0.3</v>
      </c>
      <c r="Y436" s="45">
        <v>76650</v>
      </c>
      <c r="Z436" s="46">
        <f>T436-Y436</f>
        <v>-4292.8571428571449</v>
      </c>
      <c r="AA436" s="47">
        <f>Z436/Y436</f>
        <v>-5.6005964029447422E-2</v>
      </c>
      <c r="AB436" s="60"/>
    </row>
    <row r="437" spans="2:76" ht="14.4" customHeight="1">
      <c r="B437" s="4">
        <v>303</v>
      </c>
      <c r="C437" s="38" t="s">
        <v>658</v>
      </c>
      <c r="D437" s="5" t="str">
        <f>REPLACE(C437,1,3, )</f>
        <v xml:space="preserve"> 626</v>
      </c>
      <c r="E437" s="6" t="s">
        <v>658</v>
      </c>
      <c r="F437" s="7">
        <f>IF(C437=E437,0,1)</f>
        <v>0</v>
      </c>
      <c r="G437" s="8" t="s">
        <v>20</v>
      </c>
      <c r="H437" s="8" t="s">
        <v>618</v>
      </c>
      <c r="I437" s="8" t="s">
        <v>582</v>
      </c>
      <c r="J437" s="12">
        <v>47000</v>
      </c>
      <c r="K437" s="13">
        <f>J437-M437</f>
        <v>3950</v>
      </c>
      <c r="L437" s="7" t="s">
        <v>23</v>
      </c>
      <c r="M437" s="14">
        <f>J437-N437</f>
        <v>43050</v>
      </c>
      <c r="N437" s="14">
        <f>2000+200+350+600+800</f>
        <v>3950</v>
      </c>
      <c r="O437" s="39">
        <f>M437+N437</f>
        <v>47000</v>
      </c>
      <c r="P437" s="96"/>
      <c r="Q437" s="77" t="s">
        <v>1436</v>
      </c>
      <c r="R437" s="36"/>
      <c r="S437" s="36">
        <f>R437+O437</f>
        <v>47000</v>
      </c>
      <c r="T437" s="36">
        <f>S437/0.7</f>
        <v>67142.857142857145</v>
      </c>
      <c r="U437" s="40">
        <f>T437/0.875</f>
        <v>76734.693877551021</v>
      </c>
      <c r="V437" s="41">
        <f>(U437-T437)/U437</f>
        <v>0.12499999999999997</v>
      </c>
      <c r="W437" s="40">
        <f>(ROUNDUP((U437/100),0))*100</f>
        <v>76800</v>
      </c>
      <c r="X437" s="42">
        <f>(T437-O437)/T437</f>
        <v>0.30000000000000004</v>
      </c>
      <c r="Y437" s="45">
        <v>69300</v>
      </c>
      <c r="Z437" s="46">
        <f>T437-Y437</f>
        <v>-2157.1428571428551</v>
      </c>
      <c r="AA437" s="47">
        <f>Z437/Y437</f>
        <v>-3.1127602556173955E-2</v>
      </c>
      <c r="AB437" s="60"/>
    </row>
    <row r="438" spans="2:76" ht="14.4" customHeight="1">
      <c r="B438" s="4">
        <v>44</v>
      </c>
      <c r="C438" s="5" t="s">
        <v>186</v>
      </c>
      <c r="D438" s="5" t="str">
        <f>REPLACE(C438,1,3, )</f>
        <v xml:space="preserve"> 333</v>
      </c>
      <c r="E438" s="6" t="s">
        <v>186</v>
      </c>
      <c r="F438" s="7">
        <f>IF(C438=E438,0,1)</f>
        <v>0</v>
      </c>
      <c r="G438" s="11" t="s">
        <v>298</v>
      </c>
      <c r="H438" s="11" t="s">
        <v>1536</v>
      </c>
      <c r="I438" s="11" t="s">
        <v>343</v>
      </c>
      <c r="J438" s="12">
        <v>68000</v>
      </c>
      <c r="K438" s="13">
        <f>J438-M438</f>
        <v>3900</v>
      </c>
      <c r="L438" s="7" t="s">
        <v>23</v>
      </c>
      <c r="M438" s="14">
        <f>J438-N438</f>
        <v>64100</v>
      </c>
      <c r="N438" s="15">
        <f>2000+200+350+600+750</f>
        <v>3900</v>
      </c>
      <c r="O438" s="39">
        <f>M438+N438</f>
        <v>68000</v>
      </c>
      <c r="P438" s="95"/>
      <c r="Q438" s="3" t="s">
        <v>404</v>
      </c>
      <c r="R438" s="36"/>
      <c r="S438" s="36">
        <f>R438+O438</f>
        <v>68000</v>
      </c>
      <c r="T438" s="36">
        <f>S438/0.7</f>
        <v>97142.857142857145</v>
      </c>
      <c r="U438" s="40">
        <f>T438/0.875</f>
        <v>111020.40816326531</v>
      </c>
      <c r="V438" s="41">
        <f>(U438-T438)/U438</f>
        <v>0.12500000000000003</v>
      </c>
      <c r="W438" s="40">
        <f>(ROUNDUP((U438/100),0))*100</f>
        <v>111100</v>
      </c>
      <c r="X438" s="42">
        <f>(T438-O438)/T438</f>
        <v>0.3</v>
      </c>
      <c r="Y438" s="43"/>
      <c r="Z438" s="43"/>
      <c r="AA438" s="43"/>
      <c r="AB438" s="59"/>
    </row>
    <row r="439" spans="2:76" ht="14.4" customHeight="1">
      <c r="B439" s="4">
        <v>46</v>
      </c>
      <c r="C439" s="5" t="s">
        <v>234</v>
      </c>
      <c r="D439" s="5" t="str">
        <f>REPLACE(C439,1,3, )</f>
        <v xml:space="preserve"> 388</v>
      </c>
      <c r="E439" s="6" t="s">
        <v>234</v>
      </c>
      <c r="F439" s="7">
        <f>IF(C439=E439,0,1)</f>
        <v>0</v>
      </c>
      <c r="G439" s="11" t="s">
        <v>298</v>
      </c>
      <c r="H439" s="11" t="s">
        <v>1536</v>
      </c>
      <c r="I439" s="11" t="s">
        <v>357</v>
      </c>
      <c r="J439" s="12">
        <v>72500</v>
      </c>
      <c r="K439" s="13">
        <f>J439-M439</f>
        <v>3900</v>
      </c>
      <c r="L439" s="7" t="s">
        <v>23</v>
      </c>
      <c r="M439" s="14">
        <f>J439-N439</f>
        <v>68600</v>
      </c>
      <c r="N439" s="15">
        <f>2000+200+350+600+750</f>
        <v>3900</v>
      </c>
      <c r="O439" s="39">
        <f>M439+N439</f>
        <v>72500</v>
      </c>
      <c r="P439" s="95"/>
      <c r="Q439" s="3" t="s">
        <v>427</v>
      </c>
      <c r="R439" s="36"/>
      <c r="S439" s="36">
        <f>R439+O439</f>
        <v>72500</v>
      </c>
      <c r="T439" s="36">
        <f>S439/0.7</f>
        <v>103571.42857142858</v>
      </c>
      <c r="U439" s="40">
        <f>T439/0.875</f>
        <v>118367.34693877552</v>
      </c>
      <c r="V439" s="41">
        <f>(U439-T439)/U439</f>
        <v>0.12499999999999999</v>
      </c>
      <c r="W439" s="40">
        <f>(ROUNDUP((U439/100),0))*100</f>
        <v>118400</v>
      </c>
      <c r="X439" s="42">
        <f>(T439-O439)/T439</f>
        <v>0.30000000000000004</v>
      </c>
      <c r="Y439" s="43"/>
      <c r="Z439" s="43"/>
      <c r="AA439" s="43"/>
      <c r="AB439" s="59"/>
    </row>
    <row r="440" spans="2:76" ht="14.4" customHeight="1">
      <c r="B440" s="4">
        <v>47</v>
      </c>
      <c r="C440" s="5" t="s">
        <v>185</v>
      </c>
      <c r="D440" s="5" t="str">
        <f>REPLACE(C440,1,3, )</f>
        <v xml:space="preserve"> 562</v>
      </c>
      <c r="E440" s="6" t="s">
        <v>185</v>
      </c>
      <c r="F440" s="7">
        <f>IF(C440=E440,0,1)</f>
        <v>0</v>
      </c>
      <c r="G440" s="11" t="s">
        <v>298</v>
      </c>
      <c r="H440" s="11" t="s">
        <v>1536</v>
      </c>
      <c r="I440" s="11" t="s">
        <v>343</v>
      </c>
      <c r="J440" s="12">
        <v>83000</v>
      </c>
      <c r="K440" s="13">
        <f>J440-M440</f>
        <v>6150</v>
      </c>
      <c r="L440" s="7" t="s">
        <v>23</v>
      </c>
      <c r="M440" s="14">
        <f>J440-N440</f>
        <v>76850</v>
      </c>
      <c r="N440" s="15">
        <f>2000+200+350+600+3000</f>
        <v>6150</v>
      </c>
      <c r="O440" s="39">
        <f>M440+N440</f>
        <v>83000</v>
      </c>
      <c r="P440" s="95"/>
      <c r="Q440" s="3" t="s">
        <v>403</v>
      </c>
      <c r="R440" s="36"/>
      <c r="S440" s="36">
        <f>R440+O440</f>
        <v>83000</v>
      </c>
      <c r="T440" s="36">
        <f>S440/0.7</f>
        <v>118571.42857142858</v>
      </c>
      <c r="U440" s="40">
        <f>T440/0.875</f>
        <v>135510.20408163266</v>
      </c>
      <c r="V440" s="41">
        <f>(U440-T440)/U440</f>
        <v>0.125</v>
      </c>
      <c r="W440" s="40">
        <f>(ROUNDUP((U440/100),0))*100</f>
        <v>135600</v>
      </c>
      <c r="X440" s="42">
        <f>(T440-O440)/T440</f>
        <v>0.30000000000000004</v>
      </c>
      <c r="Y440" s="43"/>
      <c r="Z440" s="43"/>
      <c r="AA440" s="44"/>
      <c r="AB440" s="60"/>
    </row>
    <row r="441" spans="2:76" ht="14.4" customHeight="1">
      <c r="B441" s="4">
        <v>49</v>
      </c>
      <c r="C441" s="5" t="s">
        <v>183</v>
      </c>
      <c r="D441" s="5" t="str">
        <f>REPLACE(C441,1,3, )</f>
        <v xml:space="preserve"> 446</v>
      </c>
      <c r="E441" s="6" t="s">
        <v>183</v>
      </c>
      <c r="F441" s="7">
        <f>IF(C441=E441,0,1)</f>
        <v>0</v>
      </c>
      <c r="G441" s="11" t="s">
        <v>298</v>
      </c>
      <c r="H441" s="11" t="s">
        <v>1536</v>
      </c>
      <c r="I441" s="11" t="s">
        <v>343</v>
      </c>
      <c r="J441" s="12">
        <v>83000</v>
      </c>
      <c r="K441" s="13">
        <f>J441-M441</f>
        <v>6150</v>
      </c>
      <c r="L441" s="7" t="s">
        <v>23</v>
      </c>
      <c r="M441" s="14">
        <f>J441-N441</f>
        <v>76850</v>
      </c>
      <c r="N441" s="15">
        <f>2000+200+350+600+3000</f>
        <v>6150</v>
      </c>
      <c r="O441" s="39">
        <f>M441+N441</f>
        <v>83000</v>
      </c>
      <c r="P441" s="96"/>
      <c r="Q441" s="3" t="s">
        <v>403</v>
      </c>
      <c r="R441" s="36"/>
      <c r="S441" s="36">
        <f>R441+O441</f>
        <v>83000</v>
      </c>
      <c r="T441" s="36">
        <f>S441/0.7</f>
        <v>118571.42857142858</v>
      </c>
      <c r="U441" s="40">
        <f>T441/0.875</f>
        <v>135510.20408163266</v>
      </c>
      <c r="V441" s="41">
        <f>(U441-T441)/U441</f>
        <v>0.125</v>
      </c>
      <c r="W441" s="40">
        <f>(ROUNDUP((U441/100),0))*100</f>
        <v>135600</v>
      </c>
      <c r="X441" s="42">
        <f>(T441-O441)/T441</f>
        <v>0.30000000000000004</v>
      </c>
      <c r="Y441" s="43"/>
      <c r="Z441" s="43"/>
      <c r="AA441" s="43"/>
      <c r="AB441" s="59"/>
    </row>
    <row r="442" spans="2:76" ht="14.4" customHeight="1">
      <c r="B442" s="4">
        <v>52</v>
      </c>
      <c r="C442" s="5" t="s">
        <v>26</v>
      </c>
      <c r="D442" s="5" t="str">
        <f>REPLACE(C442,1,3, )</f>
        <v xml:space="preserve"> 432</v>
      </c>
      <c r="E442" s="6" t="s">
        <v>26</v>
      </c>
      <c r="F442" s="7">
        <f>IF(C442=E442,0,1)</f>
        <v>0</v>
      </c>
      <c r="G442" s="11" t="s">
        <v>20</v>
      </c>
      <c r="H442" s="11" t="s">
        <v>1536</v>
      </c>
      <c r="I442" s="11" t="s">
        <v>343</v>
      </c>
      <c r="J442" s="12">
        <v>82500</v>
      </c>
      <c r="K442" s="13">
        <f>J442-M442</f>
        <v>6150</v>
      </c>
      <c r="L442" s="7" t="s">
        <v>23</v>
      </c>
      <c r="M442" s="14">
        <f>J442-N442</f>
        <v>76350</v>
      </c>
      <c r="N442" s="15">
        <f>2000+200+350+600+3000</f>
        <v>6150</v>
      </c>
      <c r="O442" s="39">
        <f>M442+N442</f>
        <v>82500</v>
      </c>
      <c r="P442" s="95"/>
      <c r="Q442" s="3" t="s">
        <v>403</v>
      </c>
      <c r="R442" s="36">
        <v>4000</v>
      </c>
      <c r="S442" s="36">
        <f>R442+O442</f>
        <v>86500</v>
      </c>
      <c r="T442" s="36">
        <f>S442/0.7</f>
        <v>123571.42857142858</v>
      </c>
      <c r="U442" s="40">
        <f>T442/0.875</f>
        <v>141224.48979591837</v>
      </c>
      <c r="V442" s="41">
        <f>(U442-T442)/U442</f>
        <v>0.12499999999999997</v>
      </c>
      <c r="W442" s="40">
        <f>(ROUNDUP((U442/100),0))*100</f>
        <v>141300</v>
      </c>
      <c r="X442" s="42">
        <f>(T442-O442)/T442</f>
        <v>0.33236994219653182</v>
      </c>
      <c r="Y442" s="45">
        <v>122150</v>
      </c>
      <c r="Z442" s="46">
        <f>T442-Y442</f>
        <v>1421.4285714285797</v>
      </c>
      <c r="AA442" s="47">
        <f>Z442/Y442</f>
        <v>1.163674638910012E-2</v>
      </c>
      <c r="AB442" s="60"/>
    </row>
    <row r="443" spans="2:76" ht="14.4" customHeight="1">
      <c r="B443" s="4">
        <v>54</v>
      </c>
      <c r="C443" s="5" t="s">
        <v>83</v>
      </c>
      <c r="D443" s="5" t="str">
        <f>REPLACE(C443,1,3, )</f>
        <v xml:space="preserve"> 636</v>
      </c>
      <c r="E443" s="6" t="s">
        <v>83</v>
      </c>
      <c r="F443" s="7">
        <f>IF(C443=E443,0,1)</f>
        <v>0</v>
      </c>
      <c r="G443" s="11" t="s">
        <v>20</v>
      </c>
      <c r="H443" s="11" t="s">
        <v>1536</v>
      </c>
      <c r="I443" s="11" t="s">
        <v>343</v>
      </c>
      <c r="J443" s="12">
        <v>82500</v>
      </c>
      <c r="K443" s="13">
        <f>J443-M443</f>
        <v>6150</v>
      </c>
      <c r="L443" s="7" t="s">
        <v>23</v>
      </c>
      <c r="M443" s="14">
        <f>J443-N443</f>
        <v>76350</v>
      </c>
      <c r="N443" s="15">
        <f>2000+200+350+600+3000</f>
        <v>6150</v>
      </c>
      <c r="O443" s="39">
        <f>M443+N443</f>
        <v>82500</v>
      </c>
      <c r="P443" s="95"/>
      <c r="Q443" s="3" t="s">
        <v>403</v>
      </c>
      <c r="R443" s="36"/>
      <c r="S443" s="36">
        <f>R443+O443</f>
        <v>82500</v>
      </c>
      <c r="T443" s="36">
        <f>S443/0.7</f>
        <v>117857.14285714287</v>
      </c>
      <c r="U443" s="40">
        <f>T443/0.875</f>
        <v>134693.87755102041</v>
      </c>
      <c r="V443" s="41">
        <f>(U443-T443)/U443</f>
        <v>0.12499999999999994</v>
      </c>
      <c r="W443" s="40">
        <f>(ROUNDUP((U443/100),0))*100</f>
        <v>134700</v>
      </c>
      <c r="X443" s="42">
        <f>(T443-O443)/T443</f>
        <v>0.3000000000000001</v>
      </c>
      <c r="Y443" s="45">
        <v>120750</v>
      </c>
      <c r="Z443" s="46">
        <f>T443-Y443</f>
        <v>-2892.8571428571304</v>
      </c>
      <c r="AA443" s="47">
        <f>Z443/Y443</f>
        <v>-2.3957409050576649E-2</v>
      </c>
      <c r="AB443" s="159" t="s">
        <v>1537</v>
      </c>
      <c r="AC443" s="172">
        <v>115952.38095238095</v>
      </c>
      <c r="AD443" s="163">
        <v>115952.38095238095</v>
      </c>
      <c r="AE443" s="163"/>
      <c r="AF443" s="180">
        <v>0</v>
      </c>
      <c r="AG443" s="149"/>
      <c r="AH443" s="156">
        <v>162246</v>
      </c>
      <c r="AI443" s="181">
        <v>111338</v>
      </c>
      <c r="AJ443" s="151"/>
      <c r="AK443" s="151"/>
      <c r="AL443" s="151"/>
      <c r="AM443" s="151"/>
      <c r="AN443" s="151"/>
      <c r="AO443" s="151"/>
      <c r="AP443" s="149"/>
      <c r="AQ443" s="151"/>
      <c r="AR443" s="151"/>
      <c r="AS443" s="151">
        <v>118073</v>
      </c>
      <c r="AT443" s="156">
        <v>152550</v>
      </c>
      <c r="AU443" s="146">
        <v>116433</v>
      </c>
      <c r="AV443" s="151"/>
      <c r="AW443" s="149"/>
      <c r="AX443" s="151"/>
      <c r="AY443" s="151"/>
      <c r="AZ443" s="182">
        <v>104220</v>
      </c>
      <c r="BA443" s="156">
        <v>128851</v>
      </c>
      <c r="BB443" s="146">
        <v>113940</v>
      </c>
      <c r="BC443" s="163"/>
      <c r="BD443" s="151"/>
      <c r="BE443" s="149"/>
      <c r="BF443" s="151"/>
      <c r="BG443" s="151"/>
      <c r="BH443" s="151">
        <v>133875</v>
      </c>
      <c r="BI443" s="156">
        <v>227479</v>
      </c>
      <c r="BJ443" s="146">
        <v>160000</v>
      </c>
      <c r="BK443" s="176"/>
      <c r="BL443" s="176"/>
      <c r="BM443" s="177"/>
      <c r="BN443" s="146">
        <v>121990</v>
      </c>
      <c r="BO443" s="176"/>
      <c r="BP443" s="176"/>
      <c r="BQ443" s="149"/>
      <c r="BR443" s="151"/>
      <c r="BS443" s="151"/>
      <c r="BT443" s="151"/>
      <c r="BU443" s="149"/>
      <c r="BV443" s="151"/>
      <c r="BW443" s="151"/>
      <c r="BX443" s="153"/>
    </row>
    <row r="444" spans="2:76" ht="14.4" customHeight="1">
      <c r="B444" s="4">
        <v>374</v>
      </c>
      <c r="C444" s="38" t="s">
        <v>706</v>
      </c>
      <c r="D444" s="5" t="str">
        <f>REPLACE(C444,1,3, )</f>
        <v xml:space="preserve"> 443</v>
      </c>
      <c r="E444" s="6" t="s">
        <v>706</v>
      </c>
      <c r="F444" s="7">
        <f>IF(C444=E444,0,1)</f>
        <v>0</v>
      </c>
      <c r="G444" s="8" t="s">
        <v>298</v>
      </c>
      <c r="H444" s="8" t="s">
        <v>323</v>
      </c>
      <c r="I444" s="8" t="s">
        <v>707</v>
      </c>
      <c r="J444" s="12">
        <f>M444</f>
        <v>70000</v>
      </c>
      <c r="K444" s="13">
        <f>J444-M444</f>
        <v>0</v>
      </c>
      <c r="L444" s="17" t="s">
        <v>22</v>
      </c>
      <c r="M444" s="18">
        <v>70000</v>
      </c>
      <c r="N444" s="15">
        <f>2000+200+250+600+1000+3600</f>
        <v>7650</v>
      </c>
      <c r="O444" s="39">
        <f>M444+N444</f>
        <v>77650</v>
      </c>
      <c r="P444" s="94"/>
      <c r="Q444" s="77" t="s">
        <v>1437</v>
      </c>
      <c r="R444" s="36"/>
      <c r="S444" s="36">
        <f>R444+O444</f>
        <v>77650</v>
      </c>
      <c r="T444" s="36">
        <f>S444/0.7</f>
        <v>110928.57142857143</v>
      </c>
      <c r="U444" s="40">
        <f>T444/0.875</f>
        <v>126775.51020408164</v>
      </c>
      <c r="V444" s="41">
        <f>(U444-T444)/U444</f>
        <v>0.12500000000000003</v>
      </c>
      <c r="W444" s="40">
        <f>(ROUNDUP((U444/100),0))*100</f>
        <v>126800</v>
      </c>
      <c r="X444" s="42">
        <f>(T444-O444)/T444</f>
        <v>0.30000000000000004</v>
      </c>
      <c r="Y444" s="43"/>
      <c r="Z444" s="43"/>
      <c r="AA444" s="43"/>
      <c r="AB444" s="59"/>
    </row>
    <row r="445" spans="2:76" ht="14.4" customHeight="1">
      <c r="B445" s="4">
        <v>375</v>
      </c>
      <c r="C445" s="38" t="s">
        <v>708</v>
      </c>
      <c r="D445" s="5" t="str">
        <f>REPLACE(C445,1,3, )</f>
        <v xml:space="preserve"> 561</v>
      </c>
      <c r="E445" s="6" t="s">
        <v>708</v>
      </c>
      <c r="F445" s="7">
        <f>IF(C445=E445,0,1)</f>
        <v>0</v>
      </c>
      <c r="G445" s="8" t="s">
        <v>20</v>
      </c>
      <c r="H445" s="8" t="s">
        <v>323</v>
      </c>
      <c r="I445" s="8" t="s">
        <v>707</v>
      </c>
      <c r="J445" s="12">
        <f>M445</f>
        <v>81000</v>
      </c>
      <c r="K445" s="13">
        <f>J445-M445</f>
        <v>0</v>
      </c>
      <c r="L445" s="17" t="s">
        <v>22</v>
      </c>
      <c r="M445" s="18">
        <v>81000</v>
      </c>
      <c r="N445" s="15">
        <f>2000+200+250+800+3450</f>
        <v>6700</v>
      </c>
      <c r="O445" s="39">
        <f>M445+N445</f>
        <v>87700</v>
      </c>
      <c r="P445" s="94"/>
      <c r="Q445" s="77" t="s">
        <v>1438</v>
      </c>
      <c r="R445" s="36"/>
      <c r="S445" s="36">
        <f>R445+O445</f>
        <v>87700</v>
      </c>
      <c r="T445" s="36">
        <f>S445/0.7</f>
        <v>125285.71428571429</v>
      </c>
      <c r="U445" s="40">
        <f>T445/0.875</f>
        <v>143183.67346938775</v>
      </c>
      <c r="V445" s="41">
        <f>(U445-T445)/U445</f>
        <v>0.12499999999999994</v>
      </c>
      <c r="W445" s="40">
        <f>(ROUNDUP((U445/100),0))*100</f>
        <v>143200</v>
      </c>
      <c r="X445" s="42">
        <f>(T445-O445)/T445</f>
        <v>0.30000000000000004</v>
      </c>
      <c r="Y445" s="45">
        <v>126000</v>
      </c>
      <c r="Z445" s="46">
        <f>T445-Y445</f>
        <v>-714.28571428571013</v>
      </c>
      <c r="AA445" s="47">
        <f>Z445/Y445</f>
        <v>-5.6689342403627788E-3</v>
      </c>
      <c r="AB445" s="60"/>
    </row>
    <row r="446" spans="2:76" ht="14.4" customHeight="1">
      <c r="B446" s="4">
        <v>376</v>
      </c>
      <c r="C446" s="38" t="s">
        <v>709</v>
      </c>
      <c r="D446" s="5" t="str">
        <f>REPLACE(C446,1,3, )</f>
        <v xml:space="preserve"> 957</v>
      </c>
      <c r="E446" s="6" t="s">
        <v>709</v>
      </c>
      <c r="F446" s="7">
        <f>IF(C446=E446,0,1)</f>
        <v>0</v>
      </c>
      <c r="G446" s="8" t="s">
        <v>298</v>
      </c>
      <c r="H446" s="8" t="s">
        <v>323</v>
      </c>
      <c r="I446" s="8" t="s">
        <v>707</v>
      </c>
      <c r="J446" s="12">
        <f>M446</f>
        <v>72000</v>
      </c>
      <c r="K446" s="13">
        <f>J446-M446</f>
        <v>0</v>
      </c>
      <c r="L446" s="17" t="s">
        <v>22</v>
      </c>
      <c r="M446" s="18">
        <v>72000</v>
      </c>
      <c r="N446" s="15">
        <f>2000+200+250+600+1000+3600</f>
        <v>7650</v>
      </c>
      <c r="O446" s="39">
        <f>M446+N446</f>
        <v>79650</v>
      </c>
      <c r="P446" s="94"/>
      <c r="Q446" s="77" t="s">
        <v>1437</v>
      </c>
      <c r="R446" s="36"/>
      <c r="S446" s="36">
        <f>R446+O446</f>
        <v>79650</v>
      </c>
      <c r="T446" s="36">
        <f>S446/0.7</f>
        <v>113785.71428571429</v>
      </c>
      <c r="U446" s="40">
        <f>T446/0.875</f>
        <v>130040.81632653062</v>
      </c>
      <c r="V446" s="41">
        <f>(U446-T446)/U446</f>
        <v>0.12500000000000003</v>
      </c>
      <c r="W446" s="40">
        <f>(ROUNDUP((U446/100),0))*100</f>
        <v>130100</v>
      </c>
      <c r="X446" s="42">
        <f>(T446-O446)/T446</f>
        <v>0.30000000000000004</v>
      </c>
      <c r="Y446" s="43"/>
      <c r="Z446" s="43"/>
      <c r="AA446" s="43"/>
      <c r="AB446" s="59"/>
    </row>
    <row r="447" spans="2:76" ht="14.4" customHeight="1">
      <c r="B447" s="4">
        <v>377</v>
      </c>
      <c r="C447" s="38" t="s">
        <v>710</v>
      </c>
      <c r="D447" s="5" t="str">
        <f>REPLACE(C447,1,3, )</f>
        <v xml:space="preserve"> 912</v>
      </c>
      <c r="E447" s="6" t="s">
        <v>710</v>
      </c>
      <c r="F447" s="7">
        <f>IF(C447=E447,0,1)</f>
        <v>0</v>
      </c>
      <c r="G447" s="8" t="s">
        <v>20</v>
      </c>
      <c r="H447" s="8" t="s">
        <v>323</v>
      </c>
      <c r="I447" s="8" t="s">
        <v>711</v>
      </c>
      <c r="J447" s="12">
        <f>M447</f>
        <v>77750</v>
      </c>
      <c r="K447" s="13">
        <f>J447-M447</f>
        <v>0</v>
      </c>
      <c r="L447" s="17" t="s">
        <v>22</v>
      </c>
      <c r="M447" s="18">
        <v>77750</v>
      </c>
      <c r="N447" s="15">
        <f>2000+600+200+250+650+3600</f>
        <v>7300</v>
      </c>
      <c r="O447" s="39">
        <f>M447+N447</f>
        <v>85050</v>
      </c>
      <c r="P447" s="94"/>
      <c r="Q447" s="77" t="s">
        <v>1383</v>
      </c>
      <c r="R447" s="36"/>
      <c r="S447" s="36">
        <f>R447+O447</f>
        <v>85050</v>
      </c>
      <c r="T447" s="36">
        <f>S447/0.7</f>
        <v>121500.00000000001</v>
      </c>
      <c r="U447" s="40">
        <f>T447/0.875</f>
        <v>138857.14285714287</v>
      </c>
      <c r="V447" s="41">
        <f>(U447-T447)/U447</f>
        <v>0.12499999999999997</v>
      </c>
      <c r="W447" s="40">
        <f>(ROUNDUP((U447/100),0))*100</f>
        <v>138900</v>
      </c>
      <c r="X447" s="42">
        <f>(T447-O447)/T447</f>
        <v>0.3000000000000001</v>
      </c>
      <c r="Y447" s="45">
        <v>114800</v>
      </c>
      <c r="Z447" s="46">
        <f>T447-Y447</f>
        <v>6700.0000000000146</v>
      </c>
      <c r="AA447" s="47">
        <f>Z447/Y447</f>
        <v>5.8362369337979218E-2</v>
      </c>
      <c r="AB447" s="60"/>
    </row>
    <row r="448" spans="2:76" ht="14.4" customHeight="1">
      <c r="B448" s="4">
        <v>378</v>
      </c>
      <c r="C448" s="5" t="s">
        <v>287</v>
      </c>
      <c r="D448" s="5" t="str">
        <f>REPLACE(C448,1,3, )</f>
        <v xml:space="preserve"> 543</v>
      </c>
      <c r="E448" s="6" t="s">
        <v>287</v>
      </c>
      <c r="F448" s="7">
        <f>IF(C448=E448,0,1)</f>
        <v>0</v>
      </c>
      <c r="G448" s="11" t="s">
        <v>298</v>
      </c>
      <c r="H448" s="11" t="s">
        <v>323</v>
      </c>
      <c r="I448" s="11" t="s">
        <v>369</v>
      </c>
      <c r="J448" s="12">
        <f>M448</f>
        <v>75000</v>
      </c>
      <c r="K448" s="13">
        <f>J448-M448</f>
        <v>0</v>
      </c>
      <c r="L448" s="17" t="s">
        <v>22</v>
      </c>
      <c r="M448" s="18">
        <v>75000</v>
      </c>
      <c r="N448" s="15">
        <f>2000+200+600+250+1000+3600+450</f>
        <v>8100</v>
      </c>
      <c r="O448" s="39">
        <f>M448+N448</f>
        <v>83100</v>
      </c>
      <c r="P448" s="96"/>
      <c r="Q448" s="3" t="s">
        <v>464</v>
      </c>
      <c r="R448" s="36">
        <v>2500</v>
      </c>
      <c r="S448" s="36">
        <f>R448+O448</f>
        <v>85600</v>
      </c>
      <c r="T448" s="36">
        <f>S448/0.7</f>
        <v>122285.71428571429</v>
      </c>
      <c r="U448" s="40">
        <f>T448/0.875</f>
        <v>139755.10204081633</v>
      </c>
      <c r="V448" s="41">
        <f>(U448-T448)/U448</f>
        <v>0.125</v>
      </c>
      <c r="W448" s="40">
        <f>(ROUNDUP((U448/100),0))*100</f>
        <v>139800</v>
      </c>
      <c r="X448" s="42">
        <f>(T448-O448)/T448</f>
        <v>0.3204439252336449</v>
      </c>
      <c r="Y448" s="43"/>
      <c r="Z448" s="43"/>
      <c r="AA448" s="43"/>
      <c r="AB448" s="59"/>
    </row>
    <row r="449" spans="2:29" ht="14.4" customHeight="1">
      <c r="B449" s="4">
        <v>379</v>
      </c>
      <c r="C449" s="38" t="s">
        <v>712</v>
      </c>
      <c r="D449" s="5" t="str">
        <f>REPLACE(C449,1,3, )</f>
        <v xml:space="preserve"> 844</v>
      </c>
      <c r="E449" s="6" t="s">
        <v>712</v>
      </c>
      <c r="F449" s="7">
        <f>IF(C449=E449,0,1)</f>
        <v>0</v>
      </c>
      <c r="G449" s="8" t="s">
        <v>298</v>
      </c>
      <c r="H449" s="8" t="s">
        <v>323</v>
      </c>
      <c r="I449" s="8" t="s">
        <v>713</v>
      </c>
      <c r="J449" s="12">
        <f>M449</f>
        <v>72500</v>
      </c>
      <c r="K449" s="183">
        <f>J449-M449</f>
        <v>0</v>
      </c>
      <c r="L449" s="17" t="s">
        <v>22</v>
      </c>
      <c r="M449" s="18">
        <v>72500</v>
      </c>
      <c r="N449" s="15">
        <f>2000+200+250+600+1000+3600</f>
        <v>7650</v>
      </c>
      <c r="O449" s="39">
        <f>M449+N449</f>
        <v>80150</v>
      </c>
      <c r="P449" s="96"/>
      <c r="Q449" s="77" t="s">
        <v>1555</v>
      </c>
      <c r="R449" s="36"/>
      <c r="S449" s="36">
        <f>R449+O449</f>
        <v>80150</v>
      </c>
      <c r="T449" s="36">
        <f>S449/0.7</f>
        <v>114500</v>
      </c>
      <c r="U449" s="40">
        <f>T449/0.875</f>
        <v>130857.14285714286</v>
      </c>
      <c r="V449" s="41">
        <f>(U449-T449)/U449</f>
        <v>0.12499999999999999</v>
      </c>
      <c r="W449" s="40">
        <f>(ROUNDUP((U449/100),0))*100</f>
        <v>130900</v>
      </c>
      <c r="X449" s="42">
        <f>(T449-O449)/T449</f>
        <v>0.3</v>
      </c>
      <c r="Y449" s="43"/>
      <c r="Z449" s="43"/>
      <c r="AA449" s="43"/>
      <c r="AB449" s="59"/>
    </row>
    <row r="450" spans="2:29" ht="14.4" customHeight="1">
      <c r="B450" s="4">
        <v>380</v>
      </c>
      <c r="C450" s="5" t="s">
        <v>286</v>
      </c>
      <c r="D450" s="5" t="str">
        <f>REPLACE(C450,1,3, )</f>
        <v xml:space="preserve"> 583</v>
      </c>
      <c r="E450" s="6" t="s">
        <v>286</v>
      </c>
      <c r="F450" s="7">
        <f>IF(C450=E450,0,1)</f>
        <v>0</v>
      </c>
      <c r="G450" s="11" t="s">
        <v>298</v>
      </c>
      <c r="H450" s="11" t="s">
        <v>323</v>
      </c>
      <c r="I450" s="11" t="s">
        <v>369</v>
      </c>
      <c r="J450" s="12">
        <f>M450</f>
        <v>75000</v>
      </c>
      <c r="K450" s="13">
        <f>J450-M450</f>
        <v>0</v>
      </c>
      <c r="L450" s="17" t="s">
        <v>22</v>
      </c>
      <c r="M450" s="18">
        <v>75000</v>
      </c>
      <c r="N450" s="15">
        <f>2000+200+600+250+1000+3600+450</f>
        <v>8100</v>
      </c>
      <c r="O450" s="39">
        <f>M450+N450</f>
        <v>83100</v>
      </c>
      <c r="P450" s="95"/>
      <c r="Q450" s="3" t="s">
        <v>464</v>
      </c>
      <c r="R450" s="36">
        <v>2500</v>
      </c>
      <c r="S450" s="36">
        <f>R450+O450</f>
        <v>85600</v>
      </c>
      <c r="T450" s="36">
        <f>S450/0.7</f>
        <v>122285.71428571429</v>
      </c>
      <c r="U450" s="40">
        <f>T450/0.875</f>
        <v>139755.10204081633</v>
      </c>
      <c r="V450" s="41">
        <f>(U450-T450)/U450</f>
        <v>0.125</v>
      </c>
      <c r="W450" s="40">
        <f>(ROUNDUP((U450/100),0))*100</f>
        <v>139800</v>
      </c>
      <c r="X450" s="42">
        <f>(T450-O450)/T450</f>
        <v>0.3204439252336449</v>
      </c>
      <c r="Y450" s="43"/>
      <c r="Z450" s="43"/>
      <c r="AA450" s="44"/>
      <c r="AB450" s="60"/>
    </row>
    <row r="451" spans="2:29" ht="14.4" customHeight="1">
      <c r="B451" s="4">
        <v>381</v>
      </c>
      <c r="C451" s="38" t="s">
        <v>290</v>
      </c>
      <c r="D451" s="5" t="str">
        <f>REPLACE(C451,1,3, )</f>
        <v xml:space="preserve"> 430</v>
      </c>
      <c r="E451" s="6" t="s">
        <v>290</v>
      </c>
      <c r="F451" s="7">
        <f>IF(C451=E451,0,1)</f>
        <v>0</v>
      </c>
      <c r="G451" s="8" t="s">
        <v>298</v>
      </c>
      <c r="H451" s="8" t="s">
        <v>323</v>
      </c>
      <c r="I451" s="8" t="s">
        <v>369</v>
      </c>
      <c r="J451" s="12"/>
      <c r="K451" s="13">
        <f>J451-M451</f>
        <v>0</v>
      </c>
      <c r="L451" s="7"/>
      <c r="M451" s="14">
        <f>J451-N451</f>
        <v>0</v>
      </c>
      <c r="N451" s="15"/>
      <c r="O451" s="39">
        <f>M451+N451</f>
        <v>0</v>
      </c>
      <c r="P451" s="95"/>
      <c r="Q451" s="3"/>
      <c r="R451" s="36">
        <v>2500</v>
      </c>
      <c r="S451" s="36">
        <f>R451+O451</f>
        <v>2500</v>
      </c>
      <c r="T451" s="36">
        <f>S451/0.7</f>
        <v>3571.4285714285716</v>
      </c>
      <c r="U451" s="40">
        <f>T451/0.875</f>
        <v>4081.6326530612246</v>
      </c>
      <c r="V451" s="41">
        <f>(U451-T451)/U451</f>
        <v>0.12499999999999999</v>
      </c>
      <c r="W451" s="40">
        <f>(ROUNDUP((U451/100),0))*100</f>
        <v>4100</v>
      </c>
      <c r="X451" s="42">
        <f>(T451-O451)/T451</f>
        <v>1</v>
      </c>
      <c r="Y451" s="43"/>
      <c r="Z451" s="43"/>
      <c r="AA451" s="44"/>
      <c r="AB451" s="60"/>
    </row>
    <row r="452" spans="2:29" ht="14.4" customHeight="1">
      <c r="B452" s="4">
        <v>382</v>
      </c>
      <c r="C452" s="5" t="s">
        <v>285</v>
      </c>
      <c r="D452" s="5" t="str">
        <f>REPLACE(C452,1,3, )</f>
        <v xml:space="preserve"> 800</v>
      </c>
      <c r="E452" s="6" t="s">
        <v>285</v>
      </c>
      <c r="F452" s="7">
        <f>IF(C452=E452,0,1)</f>
        <v>0</v>
      </c>
      <c r="G452" s="11" t="s">
        <v>298</v>
      </c>
      <c r="H452" s="11" t="s">
        <v>323</v>
      </c>
      <c r="I452" s="11" t="s">
        <v>369</v>
      </c>
      <c r="J452" s="12">
        <f>M452</f>
        <v>75000</v>
      </c>
      <c r="K452" s="13">
        <f>J452-M452</f>
        <v>0</v>
      </c>
      <c r="L452" s="17" t="s">
        <v>22</v>
      </c>
      <c r="M452" s="18">
        <v>75000</v>
      </c>
      <c r="N452" s="15">
        <f>2000+200+600+250+1000+3600+450</f>
        <v>8100</v>
      </c>
      <c r="O452" s="39">
        <f>M452+N452</f>
        <v>83100</v>
      </c>
      <c r="P452" s="95"/>
      <c r="Q452" s="3" t="s">
        <v>464</v>
      </c>
      <c r="R452" s="36">
        <v>2500</v>
      </c>
      <c r="S452" s="36">
        <f>R452+O452</f>
        <v>85600</v>
      </c>
      <c r="T452" s="36">
        <f>S452/0.7</f>
        <v>122285.71428571429</v>
      </c>
      <c r="U452" s="40">
        <f>T452/0.875</f>
        <v>139755.10204081633</v>
      </c>
      <c r="V452" s="41">
        <f>(U452-T452)/U452</f>
        <v>0.125</v>
      </c>
      <c r="W452" s="40">
        <f>(ROUNDUP((U452/100),0))*100</f>
        <v>139800</v>
      </c>
      <c r="X452" s="42">
        <f>(T452-O452)/T452</f>
        <v>0.3204439252336449</v>
      </c>
      <c r="Y452" s="43"/>
      <c r="Z452" s="43"/>
      <c r="AA452" s="44"/>
      <c r="AB452" s="60"/>
      <c r="AC452" s="157"/>
    </row>
    <row r="453" spans="2:29" ht="14.4" customHeight="1">
      <c r="B453" s="4">
        <v>383</v>
      </c>
      <c r="C453" s="38" t="s">
        <v>714</v>
      </c>
      <c r="D453" s="5" t="str">
        <f>REPLACE(C453,1,3, )</f>
        <v xml:space="preserve"> 470</v>
      </c>
      <c r="E453" s="6" t="s">
        <v>714</v>
      </c>
      <c r="F453" s="7">
        <f>IF(C453=E453,0,1)</f>
        <v>0</v>
      </c>
      <c r="G453" s="8" t="s">
        <v>298</v>
      </c>
      <c r="H453" s="8" t="s">
        <v>323</v>
      </c>
      <c r="I453" s="8" t="s">
        <v>711</v>
      </c>
      <c r="J453" s="12">
        <f>M453</f>
        <v>73750</v>
      </c>
      <c r="K453" s="13">
        <f>J453-M453</f>
        <v>0</v>
      </c>
      <c r="L453" s="17" t="s">
        <v>22</v>
      </c>
      <c r="M453" s="18">
        <v>73750</v>
      </c>
      <c r="N453" s="15">
        <f>2000+600+200+250+1000+3600</f>
        <v>7650</v>
      </c>
      <c r="O453" s="39">
        <f>M453+N453</f>
        <v>81400</v>
      </c>
      <c r="P453" s="95"/>
      <c r="Q453" s="77" t="s">
        <v>1393</v>
      </c>
      <c r="R453" s="36"/>
      <c r="S453" s="36">
        <f>R453+O453</f>
        <v>81400</v>
      </c>
      <c r="T453" s="36">
        <f>S453/0.7</f>
        <v>116285.71428571429</v>
      </c>
      <c r="U453" s="40">
        <f>T453/0.875</f>
        <v>132897.95918367346</v>
      </c>
      <c r="V453" s="41">
        <f>(U453-T453)/U453</f>
        <v>0.12499999999999992</v>
      </c>
      <c r="W453" s="40">
        <f>(ROUNDUP((U453/100),0))*100</f>
        <v>132900</v>
      </c>
      <c r="X453" s="42">
        <f>(T453-O453)/T453</f>
        <v>0.30000000000000004</v>
      </c>
      <c r="Y453" s="43"/>
      <c r="Z453" s="43"/>
      <c r="AA453" s="44"/>
      <c r="AB453" s="60"/>
    </row>
    <row r="454" spans="2:29" ht="14.4" customHeight="1">
      <c r="B454" s="4">
        <v>384</v>
      </c>
      <c r="C454" s="5" t="s">
        <v>292</v>
      </c>
      <c r="D454" s="5" t="str">
        <f>REPLACE(C454,1,3, )</f>
        <v xml:space="preserve"> 890</v>
      </c>
      <c r="E454" s="6" t="s">
        <v>292</v>
      </c>
      <c r="F454" s="7">
        <f>IF(C454=E454,0,1)</f>
        <v>0</v>
      </c>
      <c r="G454" s="11" t="s">
        <v>298</v>
      </c>
      <c r="H454" s="11" t="s">
        <v>323</v>
      </c>
      <c r="I454" s="11" t="s">
        <v>369</v>
      </c>
      <c r="J454" s="12">
        <f>M454</f>
        <v>65000</v>
      </c>
      <c r="K454" s="13">
        <f>J454-M454</f>
        <v>0</v>
      </c>
      <c r="L454" s="17" t="s">
        <v>22</v>
      </c>
      <c r="M454" s="18">
        <v>65000</v>
      </c>
      <c r="N454" s="15">
        <f>2000+200+600+250+1000+3600+450</f>
        <v>8100</v>
      </c>
      <c r="O454" s="39">
        <f>M454+N454</f>
        <v>73100</v>
      </c>
      <c r="P454" s="95"/>
      <c r="Q454" s="3" t="s">
        <v>464</v>
      </c>
      <c r="R454" s="36">
        <v>2500</v>
      </c>
      <c r="S454" s="36">
        <f>R454+O454</f>
        <v>75600</v>
      </c>
      <c r="T454" s="36">
        <f>S454/0.7</f>
        <v>108000</v>
      </c>
      <c r="U454" s="40">
        <f>T454/0.875</f>
        <v>123428.57142857143</v>
      </c>
      <c r="V454" s="41">
        <f>(U454-T454)/U454</f>
        <v>0.12500000000000006</v>
      </c>
      <c r="W454" s="40">
        <f>(ROUNDUP((U454/100),0))*100</f>
        <v>123500</v>
      </c>
      <c r="X454" s="42">
        <f>(T454-O454)/T454</f>
        <v>0.32314814814814813</v>
      </c>
      <c r="Y454" s="43"/>
      <c r="Z454" s="43"/>
      <c r="AA454" s="44"/>
      <c r="AB454" s="60"/>
    </row>
    <row r="455" spans="2:29" ht="14.4" customHeight="1">
      <c r="B455" s="4">
        <v>385</v>
      </c>
      <c r="C455" s="38" t="s">
        <v>715</v>
      </c>
      <c r="D455" s="5" t="str">
        <f>REPLACE(C455,1,3, )</f>
        <v xml:space="preserve"> 193</v>
      </c>
      <c r="E455" s="6" t="s">
        <v>715</v>
      </c>
      <c r="F455" s="7">
        <f>IF(C455=E455,0,1)</f>
        <v>0</v>
      </c>
      <c r="G455" s="8" t="s">
        <v>20</v>
      </c>
      <c r="H455" s="8" t="s">
        <v>323</v>
      </c>
      <c r="I455" s="8" t="s">
        <v>711</v>
      </c>
      <c r="J455" s="12">
        <f>M455</f>
        <v>74250</v>
      </c>
      <c r="K455" s="13">
        <f>J455-M455</f>
        <v>0</v>
      </c>
      <c r="L455" s="17" t="s">
        <v>22</v>
      </c>
      <c r="M455" s="18">
        <v>74250</v>
      </c>
      <c r="N455" s="15">
        <f>2000+600+200+250+3600</f>
        <v>6650</v>
      </c>
      <c r="O455" s="39">
        <f>M455+N455</f>
        <v>80900</v>
      </c>
      <c r="P455" s="95"/>
      <c r="Q455" s="77" t="s">
        <v>1385</v>
      </c>
      <c r="R455" s="36"/>
      <c r="S455" s="36">
        <f>R455+O455</f>
        <v>80900</v>
      </c>
      <c r="T455" s="36">
        <f>S455/0.7</f>
        <v>115571.42857142858</v>
      </c>
      <c r="U455" s="40">
        <f>T455/0.875</f>
        <v>132081.63265306124</v>
      </c>
      <c r="V455" s="41">
        <f>(U455-T455)/U455</f>
        <v>0.12500000000000006</v>
      </c>
      <c r="W455" s="40">
        <f>(ROUNDUP((U455/100),0))*100</f>
        <v>132100</v>
      </c>
      <c r="X455" s="42">
        <f>(T455-O455)/T455</f>
        <v>0.30000000000000004</v>
      </c>
      <c r="Y455" s="45">
        <v>111650</v>
      </c>
      <c r="Z455" s="46">
        <f>T455-Y455</f>
        <v>3921.4285714285797</v>
      </c>
      <c r="AA455" s="47">
        <f>Z455/Y455</f>
        <v>3.5122512955025345E-2</v>
      </c>
      <c r="AB455" s="60"/>
    </row>
    <row r="456" spans="2:29" ht="14.4" customHeight="1">
      <c r="B456" s="4">
        <v>386</v>
      </c>
      <c r="C456" s="38" t="s">
        <v>716</v>
      </c>
      <c r="D456" s="5" t="str">
        <f>REPLACE(C456,1,3, )</f>
        <v xml:space="preserve"> 767</v>
      </c>
      <c r="E456" s="6" t="s">
        <v>716</v>
      </c>
      <c r="F456" s="7">
        <f>IF(C456=E456,0,1)</f>
        <v>0</v>
      </c>
      <c r="G456" s="8" t="s">
        <v>298</v>
      </c>
      <c r="H456" s="8" t="s">
        <v>323</v>
      </c>
      <c r="I456" s="8" t="s">
        <v>711</v>
      </c>
      <c r="J456" s="12">
        <f>M456</f>
        <v>62700</v>
      </c>
      <c r="K456" s="13">
        <f>J456-M456</f>
        <v>0</v>
      </c>
      <c r="L456" s="17" t="s">
        <v>22</v>
      </c>
      <c r="M456" s="18">
        <v>62700</v>
      </c>
      <c r="N456" s="15">
        <f>2000+600+200+250+1000+3600</f>
        <v>7650</v>
      </c>
      <c r="O456" s="39">
        <f>M456+N456</f>
        <v>70350</v>
      </c>
      <c r="P456" s="95"/>
      <c r="Q456" s="77" t="s">
        <v>1393</v>
      </c>
      <c r="R456" s="36"/>
      <c r="S456" s="36">
        <f>R456+O456</f>
        <v>70350</v>
      </c>
      <c r="T456" s="36">
        <f>S456/0.7</f>
        <v>100500</v>
      </c>
      <c r="U456" s="40">
        <f>T456/0.875</f>
        <v>114857.14285714286</v>
      </c>
      <c r="V456" s="41">
        <f>(U456-T456)/U456</f>
        <v>0.12499999999999999</v>
      </c>
      <c r="W456" s="40">
        <f>(ROUNDUP((U456/100),0))*100</f>
        <v>114900</v>
      </c>
      <c r="X456" s="42">
        <f>(T456-O456)/T456</f>
        <v>0.3</v>
      </c>
      <c r="Y456" s="43"/>
      <c r="Z456" s="43"/>
      <c r="AA456" s="44"/>
      <c r="AB456" s="60"/>
    </row>
    <row r="457" spans="2:29" ht="14.4" customHeight="1">
      <c r="B457" s="4">
        <v>387</v>
      </c>
      <c r="C457" s="5" t="s">
        <v>289</v>
      </c>
      <c r="D457" s="5" t="str">
        <f>REPLACE(C457,1,3, )</f>
        <v xml:space="preserve"> 331</v>
      </c>
      <c r="E457" s="6" t="s">
        <v>289</v>
      </c>
      <c r="F457" s="7">
        <f>IF(C457=E457,0,1)</f>
        <v>0</v>
      </c>
      <c r="G457" s="11" t="s">
        <v>298</v>
      </c>
      <c r="H457" s="11" t="s">
        <v>323</v>
      </c>
      <c r="I457" s="11" t="s">
        <v>369</v>
      </c>
      <c r="J457" s="12">
        <f>M457</f>
        <v>69000</v>
      </c>
      <c r="K457" s="13">
        <f>J457-M457</f>
        <v>0</v>
      </c>
      <c r="L457" s="17" t="s">
        <v>22</v>
      </c>
      <c r="M457" s="18">
        <v>69000</v>
      </c>
      <c r="N457" s="15">
        <f>2000+200+600+250+1000+3600+450</f>
        <v>8100</v>
      </c>
      <c r="O457" s="39">
        <f>M457+N457</f>
        <v>77100</v>
      </c>
      <c r="P457" s="96"/>
      <c r="Q457" s="3" t="s">
        <v>464</v>
      </c>
      <c r="R457" s="36">
        <v>2500</v>
      </c>
      <c r="S457" s="36">
        <f>R457+O457</f>
        <v>79600</v>
      </c>
      <c r="T457" s="36">
        <f>S457/0.7</f>
        <v>113714.28571428572</v>
      </c>
      <c r="U457" s="40">
        <f>T457/0.875</f>
        <v>129959.18367346939</v>
      </c>
      <c r="V457" s="41">
        <f>(U457-T457)/U457</f>
        <v>0.12499999999999996</v>
      </c>
      <c r="W457" s="40">
        <f>(ROUNDUP((U457/100),0))*100</f>
        <v>130000</v>
      </c>
      <c r="X457" s="42">
        <f>(T457-O457)/T457</f>
        <v>0.32198492462311562</v>
      </c>
      <c r="Y457" s="43"/>
      <c r="Z457" s="43"/>
      <c r="AA457" s="44"/>
      <c r="AB457" s="60"/>
    </row>
    <row r="458" spans="2:29" ht="14.4" customHeight="1">
      <c r="B458" s="4">
        <v>388</v>
      </c>
      <c r="C458" s="38" t="s">
        <v>717</v>
      </c>
      <c r="D458" s="5" t="str">
        <f>REPLACE(C458,1,3, )</f>
        <v xml:space="preserve"> 880</v>
      </c>
      <c r="E458" s="6" t="s">
        <v>717</v>
      </c>
      <c r="F458" s="7">
        <f>IF(C458=E458,0,1)</f>
        <v>0</v>
      </c>
      <c r="G458" s="8" t="s">
        <v>298</v>
      </c>
      <c r="H458" s="8" t="s">
        <v>323</v>
      </c>
      <c r="I458" s="8" t="s">
        <v>711</v>
      </c>
      <c r="J458" s="12">
        <f>M458</f>
        <v>68750</v>
      </c>
      <c r="K458" s="13">
        <f>J458-M458</f>
        <v>0</v>
      </c>
      <c r="L458" s="17" t="s">
        <v>22</v>
      </c>
      <c r="M458" s="18">
        <f>68750</f>
        <v>68750</v>
      </c>
      <c r="N458" s="15">
        <f>2000+600+200+250+1000+3600</f>
        <v>7650</v>
      </c>
      <c r="O458" s="39">
        <f>M458+N458</f>
        <v>76400</v>
      </c>
      <c r="P458" s="96"/>
      <c r="Q458" s="77" t="s">
        <v>1393</v>
      </c>
      <c r="R458" s="36"/>
      <c r="S458" s="36">
        <f>R458+O458</f>
        <v>76400</v>
      </c>
      <c r="T458" s="36">
        <f>S458/0.7</f>
        <v>109142.85714285714</v>
      </c>
      <c r="U458" s="40">
        <f>T458/0.875</f>
        <v>124734.69387755102</v>
      </c>
      <c r="V458" s="41">
        <f>(U458-T458)/U458</f>
        <v>0.12499999999999999</v>
      </c>
      <c r="W458" s="40">
        <f>(ROUNDUP((U458/100),0))*100</f>
        <v>124800</v>
      </c>
      <c r="X458" s="42">
        <f>(T458-O458)/T458</f>
        <v>0.3</v>
      </c>
      <c r="Y458" s="43"/>
      <c r="Z458" s="43"/>
      <c r="AA458" s="44"/>
      <c r="AB458" s="60"/>
    </row>
    <row r="459" spans="2:29" ht="14.4" customHeight="1">
      <c r="B459" s="4">
        <v>389</v>
      </c>
      <c r="C459" s="38" t="s">
        <v>718</v>
      </c>
      <c r="D459" s="5" t="str">
        <f>REPLACE(C459,1,3, )</f>
        <v xml:space="preserve"> 344</v>
      </c>
      <c r="E459" s="6" t="s">
        <v>718</v>
      </c>
      <c r="F459" s="7">
        <f>IF(C459=E459,0,1)</f>
        <v>0</v>
      </c>
      <c r="G459" s="8" t="s">
        <v>20</v>
      </c>
      <c r="H459" s="8" t="s">
        <v>323</v>
      </c>
      <c r="I459" s="8" t="s">
        <v>711</v>
      </c>
      <c r="J459" s="12">
        <f>M459</f>
        <v>60000</v>
      </c>
      <c r="K459" s="13">
        <f>J459-M459</f>
        <v>0</v>
      </c>
      <c r="L459" s="17" t="s">
        <v>22</v>
      </c>
      <c r="M459" s="18">
        <v>60000</v>
      </c>
      <c r="N459" s="15">
        <f>2000+600+200+250+800+2400+3600</f>
        <v>9850</v>
      </c>
      <c r="O459" s="39">
        <f>M459+N459</f>
        <v>69850</v>
      </c>
      <c r="P459" s="96"/>
      <c r="Q459" s="77" t="s">
        <v>1384</v>
      </c>
      <c r="R459" s="36"/>
      <c r="S459" s="36">
        <f>R459+O459</f>
        <v>69850</v>
      </c>
      <c r="T459" s="36">
        <f>S459/0.7</f>
        <v>99785.71428571429</v>
      </c>
      <c r="U459" s="40">
        <f>T459/0.875</f>
        <v>114040.81632653062</v>
      </c>
      <c r="V459" s="41">
        <f>(U459-T459)/U459</f>
        <v>0.12500000000000003</v>
      </c>
      <c r="W459" s="40">
        <f>(ROUNDUP((U459/100),0))*100</f>
        <v>114100</v>
      </c>
      <c r="X459" s="42">
        <f>(T459-O459)/T459</f>
        <v>0.30000000000000004</v>
      </c>
      <c r="Y459" s="45">
        <v>92313</v>
      </c>
      <c r="Z459" s="46">
        <f>T459-Y459</f>
        <v>7472.7142857142899</v>
      </c>
      <c r="AA459" s="47">
        <f>Z459/Y459</f>
        <v>8.0949750151271108E-2</v>
      </c>
      <c r="AB459" s="60"/>
    </row>
    <row r="460" spans="2:29" ht="14.4" customHeight="1">
      <c r="B460" s="4">
        <v>390</v>
      </c>
      <c r="C460" s="38" t="s">
        <v>719</v>
      </c>
      <c r="D460" s="5" t="str">
        <f>REPLACE(C460,1,3, )</f>
        <v xml:space="preserve"> 481</v>
      </c>
      <c r="E460" s="6" t="s">
        <v>719</v>
      </c>
      <c r="F460" s="7">
        <f>IF(C460=E460,0,1)</f>
        <v>0</v>
      </c>
      <c r="G460" s="8" t="s">
        <v>20</v>
      </c>
      <c r="H460" s="8" t="s">
        <v>323</v>
      </c>
      <c r="I460" s="8" t="s">
        <v>711</v>
      </c>
      <c r="J460" s="12">
        <f>M460</f>
        <v>63750</v>
      </c>
      <c r="K460" s="13">
        <f>J460-M460</f>
        <v>0</v>
      </c>
      <c r="L460" s="17" t="s">
        <v>22</v>
      </c>
      <c r="M460" s="18">
        <v>63750</v>
      </c>
      <c r="N460" s="15">
        <f>2000+600+200+250+400+800+3600</f>
        <v>7850</v>
      </c>
      <c r="O460" s="39">
        <f>M460+N460</f>
        <v>71600</v>
      </c>
      <c r="P460" s="96"/>
      <c r="Q460" s="77" t="s">
        <v>1388</v>
      </c>
      <c r="R460" s="36"/>
      <c r="S460" s="36">
        <f>R460+O460</f>
        <v>71600</v>
      </c>
      <c r="T460" s="36">
        <f>S460/0.7</f>
        <v>102285.71428571429</v>
      </c>
      <c r="U460" s="40">
        <f>T460/0.875</f>
        <v>116897.95918367348</v>
      </c>
      <c r="V460" s="41">
        <f>(U460-T460)/U460</f>
        <v>0.12500000000000003</v>
      </c>
      <c r="W460" s="40">
        <f>(ROUNDUP((U460/100),0))*100</f>
        <v>116900</v>
      </c>
      <c r="X460" s="42">
        <f>(T460-O460)/T460</f>
        <v>0.30000000000000004</v>
      </c>
      <c r="Y460" s="45">
        <v>100625</v>
      </c>
      <c r="Z460" s="46">
        <f>T460-Y460</f>
        <v>1660.7142857142899</v>
      </c>
      <c r="AA460" s="47">
        <f>Z460/Y460</f>
        <v>1.6503992901508471E-2</v>
      </c>
      <c r="AB460" s="60"/>
    </row>
    <row r="461" spans="2:29" ht="14.4" customHeight="1">
      <c r="B461" s="4">
        <v>391</v>
      </c>
      <c r="C461" s="38" t="s">
        <v>720</v>
      </c>
      <c r="D461" s="5" t="str">
        <f>REPLACE(C461,1,3, )</f>
        <v xml:space="preserve"> 345</v>
      </c>
      <c r="E461" s="6" t="s">
        <v>720</v>
      </c>
      <c r="F461" s="7">
        <f>IF(C461=E461,0,1)</f>
        <v>0</v>
      </c>
      <c r="G461" s="8" t="s">
        <v>298</v>
      </c>
      <c r="H461" s="8" t="s">
        <v>323</v>
      </c>
      <c r="I461" s="8" t="s">
        <v>711</v>
      </c>
      <c r="J461" s="12">
        <f>M461</f>
        <v>64200</v>
      </c>
      <c r="K461" s="13">
        <f>J461-M461</f>
        <v>0</v>
      </c>
      <c r="L461" s="17" t="s">
        <v>22</v>
      </c>
      <c r="M461" s="18">
        <v>64200</v>
      </c>
      <c r="N461" s="15">
        <f>2000+600+200+250+1000+3600</f>
        <v>7650</v>
      </c>
      <c r="O461" s="39">
        <f>M461+N461</f>
        <v>71850</v>
      </c>
      <c r="P461" s="96"/>
      <c r="Q461" s="77" t="s">
        <v>1393</v>
      </c>
      <c r="R461" s="36"/>
      <c r="S461" s="36">
        <f>R461+O461</f>
        <v>71850</v>
      </c>
      <c r="T461" s="36">
        <f>S461/0.7</f>
        <v>102642.85714285714</v>
      </c>
      <c r="U461" s="40">
        <f>T461/0.875</f>
        <v>117306.1224489796</v>
      </c>
      <c r="V461" s="41">
        <f>(U461-T461)/U461</f>
        <v>0.12500000000000006</v>
      </c>
      <c r="W461" s="40">
        <f>(ROUNDUP((U461/100),0))*100</f>
        <v>117400</v>
      </c>
      <c r="X461" s="42">
        <f>(T461-O461)/T461</f>
        <v>0.3</v>
      </c>
      <c r="Y461" s="43"/>
      <c r="Z461" s="43"/>
      <c r="AA461" s="44"/>
      <c r="AB461" s="60"/>
    </row>
    <row r="462" spans="2:29" ht="14.4" customHeight="1">
      <c r="B462" s="4">
        <v>392</v>
      </c>
      <c r="C462" s="38" t="s">
        <v>721</v>
      </c>
      <c r="D462" s="5" t="str">
        <f>REPLACE(C462,1,3, )</f>
        <v xml:space="preserve"> 826</v>
      </c>
      <c r="E462" s="6" t="s">
        <v>721</v>
      </c>
      <c r="F462" s="7">
        <f>IF(C462=E462,0,1)</f>
        <v>0</v>
      </c>
      <c r="G462" s="8" t="s">
        <v>20</v>
      </c>
      <c r="H462" s="8" t="s">
        <v>323</v>
      </c>
      <c r="I462" s="8" t="s">
        <v>711</v>
      </c>
      <c r="J462" s="12">
        <f>M462</f>
        <v>63750</v>
      </c>
      <c r="K462" s="13">
        <f>J462-M462</f>
        <v>0</v>
      </c>
      <c r="L462" s="17" t="s">
        <v>22</v>
      </c>
      <c r="M462" s="18">
        <v>63750</v>
      </c>
      <c r="N462" s="15">
        <f>2000+600+200+250+800+2400+3600+400</f>
        <v>10250</v>
      </c>
      <c r="O462" s="39">
        <f>M462+N462</f>
        <v>74000</v>
      </c>
      <c r="P462" s="96"/>
      <c r="Q462" s="77" t="s">
        <v>1387</v>
      </c>
      <c r="R462" s="36"/>
      <c r="S462" s="36">
        <f>R462+O462</f>
        <v>74000</v>
      </c>
      <c r="T462" s="36">
        <f>S462/0.7</f>
        <v>105714.28571428572</v>
      </c>
      <c r="U462" s="40">
        <f>T462/0.875</f>
        <v>120816.32653061226</v>
      </c>
      <c r="V462" s="41">
        <f>(U462-T462)/U462</f>
        <v>0.12500000000000006</v>
      </c>
      <c r="W462" s="40">
        <f>(ROUNDUP((U462/100),0))*100</f>
        <v>120900</v>
      </c>
      <c r="X462" s="42">
        <f>(T462-O462)/T462</f>
        <v>0.30000000000000004</v>
      </c>
      <c r="Y462" s="45">
        <v>100625</v>
      </c>
      <c r="Z462" s="46">
        <f>T462-Y462</f>
        <v>5089.2857142857247</v>
      </c>
      <c r="AA462" s="47">
        <f>Z462/Y462</f>
        <v>5.0576752440106579E-2</v>
      </c>
      <c r="AB462" s="60"/>
    </row>
    <row r="463" spans="2:29" ht="14.4" customHeight="1">
      <c r="B463" s="4">
        <v>393</v>
      </c>
      <c r="C463" s="38" t="s">
        <v>722</v>
      </c>
      <c r="D463" s="5" t="str">
        <f>REPLACE(C463,1,3, )</f>
        <v xml:space="preserve"> 550</v>
      </c>
      <c r="E463" s="6" t="s">
        <v>722</v>
      </c>
      <c r="F463" s="7">
        <f>IF(C463=E463,0,1)</f>
        <v>0</v>
      </c>
      <c r="G463" s="8" t="s">
        <v>20</v>
      </c>
      <c r="H463" s="8" t="s">
        <v>323</v>
      </c>
      <c r="I463" s="8" t="s">
        <v>711</v>
      </c>
      <c r="J463" s="12">
        <f>M463</f>
        <v>72250</v>
      </c>
      <c r="K463" s="13">
        <f>J463-M463</f>
        <v>0</v>
      </c>
      <c r="L463" s="17" t="s">
        <v>22</v>
      </c>
      <c r="M463" s="18">
        <v>72250</v>
      </c>
      <c r="N463" s="15">
        <f>2000+600+200+250+800+2400+3600</f>
        <v>9850</v>
      </c>
      <c r="O463" s="39">
        <f>M463+N463</f>
        <v>82100</v>
      </c>
      <c r="P463" s="96"/>
      <c r="Q463" s="77" t="s">
        <v>1384</v>
      </c>
      <c r="R463" s="36"/>
      <c r="S463" s="36">
        <f>R463+O463</f>
        <v>82100</v>
      </c>
      <c r="T463" s="36">
        <f>S463/0.7</f>
        <v>117285.71428571429</v>
      </c>
      <c r="U463" s="40">
        <f>T463/0.875</f>
        <v>134040.81632653062</v>
      </c>
      <c r="V463" s="41">
        <f>(U463-T463)/U463</f>
        <v>0.12500000000000003</v>
      </c>
      <c r="W463" s="40">
        <f>(ROUNDUP((U463/100),0))*100</f>
        <v>134100</v>
      </c>
      <c r="X463" s="42">
        <f>(T463-O463)/T463</f>
        <v>0.30000000000000004</v>
      </c>
      <c r="Y463" s="45">
        <v>112175</v>
      </c>
      <c r="Z463" s="46">
        <f>T463-Y463</f>
        <v>5110.7142857142899</v>
      </c>
      <c r="AA463" s="47">
        <f>Z463/Y463</f>
        <v>4.5560189754528996E-2</v>
      </c>
      <c r="AB463" s="60"/>
    </row>
    <row r="464" spans="2:29" ht="14.4" customHeight="1">
      <c r="B464" s="4">
        <v>394</v>
      </c>
      <c r="C464" s="38" t="s">
        <v>723</v>
      </c>
      <c r="D464" s="5" t="str">
        <f>REPLACE(C464,1,3, )</f>
        <v xml:space="preserve"> 196</v>
      </c>
      <c r="E464" s="6" t="s">
        <v>723</v>
      </c>
      <c r="F464" s="7">
        <f>IF(C464=E464,0,1)</f>
        <v>0</v>
      </c>
      <c r="G464" s="8" t="s">
        <v>298</v>
      </c>
      <c r="H464" s="8" t="s">
        <v>323</v>
      </c>
      <c r="I464" s="8" t="s">
        <v>711</v>
      </c>
      <c r="J464" s="12">
        <f>M464</f>
        <v>64200</v>
      </c>
      <c r="K464" s="13">
        <f>J464-M464</f>
        <v>0</v>
      </c>
      <c r="L464" s="17" t="s">
        <v>22</v>
      </c>
      <c r="M464" s="18">
        <v>64200</v>
      </c>
      <c r="N464" s="15">
        <f>2000+600+200+250+1000+3600</f>
        <v>7650</v>
      </c>
      <c r="O464" s="39">
        <f>M464+N464</f>
        <v>71850</v>
      </c>
      <c r="P464" s="96"/>
      <c r="Q464" s="77" t="s">
        <v>1393</v>
      </c>
      <c r="R464" s="36"/>
      <c r="S464" s="36">
        <f>R464+O464</f>
        <v>71850</v>
      </c>
      <c r="T464" s="36">
        <f>S464/0.7</f>
        <v>102642.85714285714</v>
      </c>
      <c r="U464" s="40">
        <f>T464/0.875</f>
        <v>117306.1224489796</v>
      </c>
      <c r="V464" s="41">
        <f>(U464-T464)/U464</f>
        <v>0.12500000000000006</v>
      </c>
      <c r="W464" s="40">
        <f>(ROUNDUP((U464/100),0))*100</f>
        <v>117400</v>
      </c>
      <c r="X464" s="42">
        <f>(T464-O464)/T464</f>
        <v>0.3</v>
      </c>
      <c r="Y464" s="43"/>
      <c r="Z464" s="43"/>
      <c r="AA464" s="44"/>
      <c r="AB464" s="60"/>
    </row>
    <row r="465" spans="2:29" ht="14.4" customHeight="1">
      <c r="B465" s="4">
        <v>395</v>
      </c>
      <c r="C465" s="38" t="s">
        <v>724</v>
      </c>
      <c r="D465" s="5" t="str">
        <f>REPLACE(C465,1,3, )</f>
        <v xml:space="preserve"> 289</v>
      </c>
      <c r="E465" s="6" t="s">
        <v>724</v>
      </c>
      <c r="F465" s="7">
        <f>IF(C465=E465,0,1)</f>
        <v>0</v>
      </c>
      <c r="G465" s="8" t="s">
        <v>20</v>
      </c>
      <c r="H465" s="8" t="s">
        <v>323</v>
      </c>
      <c r="I465" s="8" t="s">
        <v>725</v>
      </c>
      <c r="J465" s="87">
        <v>57500</v>
      </c>
      <c r="K465" s="87">
        <f>J465-M465</f>
        <v>0</v>
      </c>
      <c r="L465" s="103" t="s">
        <v>1428</v>
      </c>
      <c r="M465" s="86">
        <f>J465</f>
        <v>57500</v>
      </c>
      <c r="N465" s="87">
        <f>2000+3450+800+200+250</f>
        <v>6700</v>
      </c>
      <c r="O465" s="101">
        <f>N465+M465</f>
        <v>64200</v>
      </c>
      <c r="P465" s="95"/>
      <c r="Q465" s="88" t="s">
        <v>1402</v>
      </c>
      <c r="R465" s="36"/>
      <c r="S465" s="36">
        <f>R465+O465</f>
        <v>64200</v>
      </c>
      <c r="T465" s="36">
        <f>S465/0.7</f>
        <v>91714.285714285725</v>
      </c>
      <c r="U465" s="40">
        <f>T465/0.875</f>
        <v>104816.32653061226</v>
      </c>
      <c r="V465" s="41">
        <f>(U465-T465)/U465</f>
        <v>0.12500000000000006</v>
      </c>
      <c r="W465" s="40">
        <f>(ROUNDUP((U465/100),0))*100</f>
        <v>104900</v>
      </c>
      <c r="X465" s="42">
        <f>(T465-O465)/T465</f>
        <v>0.3000000000000001</v>
      </c>
      <c r="Y465" s="45">
        <v>96075</v>
      </c>
      <c r="Z465" s="46">
        <f>T465-Y465</f>
        <v>-4360.7142857142753</v>
      </c>
      <c r="AA465" s="47">
        <f>Z465/Y465</f>
        <v>-4.5388647262183453E-2</v>
      </c>
      <c r="AB465" s="60"/>
    </row>
    <row r="466" spans="2:29" ht="14.4" customHeight="1">
      <c r="B466" s="4">
        <v>397</v>
      </c>
      <c r="C466" s="5" t="s">
        <v>288</v>
      </c>
      <c r="D466" s="5" t="str">
        <f>REPLACE(C466,1,3, )</f>
        <v xml:space="preserve"> 803</v>
      </c>
      <c r="E466" s="6" t="s">
        <v>288</v>
      </c>
      <c r="F466" s="7">
        <f>IF(C466=E466,0,1)</f>
        <v>0</v>
      </c>
      <c r="G466" s="11" t="s">
        <v>298</v>
      </c>
      <c r="H466" s="11" t="s">
        <v>323</v>
      </c>
      <c r="I466" s="11" t="s">
        <v>369</v>
      </c>
      <c r="J466" s="12">
        <f>M466</f>
        <v>75000</v>
      </c>
      <c r="K466" s="13">
        <f>J466-M466</f>
        <v>0</v>
      </c>
      <c r="L466" s="17" t="s">
        <v>22</v>
      </c>
      <c r="M466" s="18">
        <v>75000</v>
      </c>
      <c r="N466" s="15">
        <f>2000+200+600+250+1000+3600+450</f>
        <v>8100</v>
      </c>
      <c r="O466" s="39">
        <f>M466+N466</f>
        <v>83100</v>
      </c>
      <c r="P466" s="95"/>
      <c r="Q466" s="3" t="s">
        <v>464</v>
      </c>
      <c r="R466" s="36">
        <v>2500</v>
      </c>
      <c r="S466" s="36">
        <f>R466+O466</f>
        <v>85600</v>
      </c>
      <c r="T466" s="36">
        <f>S466/0.7</f>
        <v>122285.71428571429</v>
      </c>
      <c r="U466" s="40">
        <f>T466/0.875</f>
        <v>139755.10204081633</v>
      </c>
      <c r="V466" s="41">
        <f>(U466-T466)/U466</f>
        <v>0.125</v>
      </c>
      <c r="W466" s="40">
        <f>(ROUNDUP((U466/100),0))*100</f>
        <v>139800</v>
      </c>
      <c r="X466" s="42">
        <f>(T466-O466)/T466</f>
        <v>0.3204439252336449</v>
      </c>
      <c r="Y466" s="43"/>
      <c r="Z466" s="43"/>
      <c r="AA466" s="44"/>
      <c r="AB466" s="60"/>
    </row>
    <row r="467" spans="2:29" ht="14.4" customHeight="1">
      <c r="B467" s="4">
        <v>398</v>
      </c>
      <c r="C467" s="38" t="s">
        <v>727</v>
      </c>
      <c r="D467" s="5" t="str">
        <f>REPLACE(C467,1,3, )</f>
        <v xml:space="preserve"> 571</v>
      </c>
      <c r="E467" s="6" t="s">
        <v>727</v>
      </c>
      <c r="F467" s="7">
        <f>IF(C467=E467,0,1)</f>
        <v>0</v>
      </c>
      <c r="G467" s="8" t="s">
        <v>298</v>
      </c>
      <c r="H467" s="8" t="s">
        <v>323</v>
      </c>
      <c r="I467" s="8" t="s">
        <v>711</v>
      </c>
      <c r="J467" s="12">
        <f>M467</f>
        <v>77000</v>
      </c>
      <c r="K467" s="13">
        <f>J467-M467</f>
        <v>0</v>
      </c>
      <c r="L467" s="17" t="s">
        <v>22</v>
      </c>
      <c r="M467" s="18">
        <v>77000</v>
      </c>
      <c r="N467" s="15">
        <f>2000+600+200+250+1000+3600</f>
        <v>7650</v>
      </c>
      <c r="O467" s="39">
        <f>M467+N467</f>
        <v>84650</v>
      </c>
      <c r="P467" s="95"/>
      <c r="Q467" s="77" t="s">
        <v>1393</v>
      </c>
      <c r="R467" s="36"/>
      <c r="S467" s="36">
        <f>R467+O467</f>
        <v>84650</v>
      </c>
      <c r="T467" s="36">
        <f>S467/0.7</f>
        <v>120928.57142857143</v>
      </c>
      <c r="U467" s="40">
        <f>T467/0.875</f>
        <v>138204.08163265308</v>
      </c>
      <c r="V467" s="41">
        <f>(U467-T467)/U467</f>
        <v>0.12500000000000006</v>
      </c>
      <c r="W467" s="40">
        <f>(ROUNDUP((U467/100),0))*100</f>
        <v>138300</v>
      </c>
      <c r="X467" s="42">
        <f>(T467-O467)/T467</f>
        <v>0.30000000000000004</v>
      </c>
      <c r="Y467" s="43"/>
      <c r="Z467" s="43"/>
      <c r="AA467" s="44"/>
      <c r="AB467" s="60"/>
      <c r="AC467" s="157"/>
    </row>
    <row r="468" spans="2:29" ht="14.4" customHeight="1">
      <c r="B468" s="4">
        <v>399</v>
      </c>
      <c r="C468" s="38" t="s">
        <v>728</v>
      </c>
      <c r="D468" s="5" t="str">
        <f>REPLACE(C468,1,3, )</f>
        <v xml:space="preserve"> 908</v>
      </c>
      <c r="E468" s="6" t="s">
        <v>728</v>
      </c>
      <c r="F468" s="7">
        <f>IF(C468=E468,0,1)</f>
        <v>0</v>
      </c>
      <c r="G468" s="8" t="s">
        <v>298</v>
      </c>
      <c r="H468" s="8" t="s">
        <v>323</v>
      </c>
      <c r="I468" s="8" t="s">
        <v>711</v>
      </c>
      <c r="J468" s="12">
        <f>M468</f>
        <v>67750</v>
      </c>
      <c r="K468" s="13">
        <f>J468-M468</f>
        <v>0</v>
      </c>
      <c r="L468" s="17" t="s">
        <v>22</v>
      </c>
      <c r="M468" s="18">
        <f>64000+3000+750</f>
        <v>67750</v>
      </c>
      <c r="N468" s="15">
        <f>2000+600+200+250+1000+3600</f>
        <v>7650</v>
      </c>
      <c r="O468" s="39">
        <f>M468+N468</f>
        <v>75400</v>
      </c>
      <c r="P468" s="95"/>
      <c r="Q468" s="77" t="s">
        <v>1393</v>
      </c>
      <c r="R468" s="36"/>
      <c r="S468" s="36">
        <f>R468+O468</f>
        <v>75400</v>
      </c>
      <c r="T468" s="36">
        <f>S468/0.7</f>
        <v>107714.28571428572</v>
      </c>
      <c r="U468" s="40">
        <f>T468/0.875</f>
        <v>123102.04081632654</v>
      </c>
      <c r="V468" s="41">
        <f>(U468-T468)/U468</f>
        <v>0.12499999999999997</v>
      </c>
      <c r="W468" s="40">
        <f>(ROUNDUP((U468/100),0))*100</f>
        <v>123200</v>
      </c>
      <c r="X468" s="42">
        <f>(T468-O468)/T468</f>
        <v>0.30000000000000004</v>
      </c>
      <c r="Y468" s="43"/>
      <c r="Z468" s="43"/>
      <c r="AA468" s="44"/>
      <c r="AB468" s="60"/>
    </row>
    <row r="469" spans="2:29" ht="14.4" customHeight="1">
      <c r="B469" s="4">
        <v>400</v>
      </c>
      <c r="C469" s="38" t="s">
        <v>729</v>
      </c>
      <c r="D469" s="5" t="str">
        <f>REPLACE(C469,1,3, )</f>
        <v xml:space="preserve"> 412</v>
      </c>
      <c r="E469" s="6" t="s">
        <v>729</v>
      </c>
      <c r="F469" s="7">
        <f>IF(C469=E469,0,1)</f>
        <v>0</v>
      </c>
      <c r="G469" s="8" t="s">
        <v>20</v>
      </c>
      <c r="H469" s="8" t="s">
        <v>323</v>
      </c>
      <c r="I469" s="8" t="s">
        <v>711</v>
      </c>
      <c r="J469" s="12">
        <f>M469</f>
        <v>71750</v>
      </c>
      <c r="K469" s="13">
        <f>J469-M469</f>
        <v>0</v>
      </c>
      <c r="L469" s="17" t="s">
        <v>22</v>
      </c>
      <c r="M469" s="18">
        <v>71750</v>
      </c>
      <c r="N469" s="15">
        <f>2000+600+200+250+3600</f>
        <v>6650</v>
      </c>
      <c r="O469" s="39">
        <f>M469+N469</f>
        <v>78400</v>
      </c>
      <c r="P469" s="95"/>
      <c r="Q469" s="77" t="s">
        <v>1364</v>
      </c>
      <c r="R469" s="36"/>
      <c r="S469" s="36">
        <f>R469+O469</f>
        <v>78400</v>
      </c>
      <c r="T469" s="36">
        <f>S469/0.7</f>
        <v>112000</v>
      </c>
      <c r="U469" s="40">
        <f>T469/0.875</f>
        <v>128000</v>
      </c>
      <c r="V469" s="41">
        <f>(U469-T469)/U469</f>
        <v>0.125</v>
      </c>
      <c r="W469" s="40">
        <f>(ROUNDUP((U469/100),0))*100</f>
        <v>128000</v>
      </c>
      <c r="X469" s="42">
        <f>(T469-O469)/T469</f>
        <v>0.3</v>
      </c>
      <c r="Y469" s="45">
        <v>107450</v>
      </c>
      <c r="Z469" s="46">
        <f>T469-Y469</f>
        <v>4550</v>
      </c>
      <c r="AA469" s="47">
        <f>Z469/Y469</f>
        <v>4.2345276872964167E-2</v>
      </c>
      <c r="AB469" s="60"/>
    </row>
    <row r="470" spans="2:29" ht="14.4" customHeight="1">
      <c r="B470" s="4">
        <v>401</v>
      </c>
      <c r="C470" s="38" t="s">
        <v>730</v>
      </c>
      <c r="D470" s="5" t="str">
        <f>REPLACE(C470,1,3, )</f>
        <v xml:space="preserve"> 385</v>
      </c>
      <c r="E470" s="6" t="s">
        <v>730</v>
      </c>
      <c r="F470" s="7">
        <f>IF(C470=E470,0,1)</f>
        <v>0</v>
      </c>
      <c r="G470" s="8" t="s">
        <v>20</v>
      </c>
      <c r="H470" s="8" t="s">
        <v>323</v>
      </c>
      <c r="I470" s="8" t="s">
        <v>711</v>
      </c>
      <c r="J470" s="12">
        <f>M470</f>
        <v>71750</v>
      </c>
      <c r="K470" s="13">
        <f>J470-M470</f>
        <v>0</v>
      </c>
      <c r="L470" s="17" t="s">
        <v>22</v>
      </c>
      <c r="M470" s="18">
        <v>71750</v>
      </c>
      <c r="N470" s="15">
        <f>2000+600+200+250+700+3600</f>
        <v>7350</v>
      </c>
      <c r="O470" s="39">
        <f>M470+N470</f>
        <v>79100</v>
      </c>
      <c r="P470" s="95"/>
      <c r="Q470" s="77" t="s">
        <v>1382</v>
      </c>
      <c r="R470" s="36"/>
      <c r="S470" s="36">
        <f>R470+O470</f>
        <v>79100</v>
      </c>
      <c r="T470" s="36">
        <f>S470/0.7</f>
        <v>113000</v>
      </c>
      <c r="U470" s="40">
        <f>T470/0.875</f>
        <v>129142.85714285714</v>
      </c>
      <c r="V470" s="41">
        <f>(U470-T470)/U470</f>
        <v>0.12500000000000003</v>
      </c>
      <c r="W470" s="40">
        <f>(ROUNDUP((U470/100),0))*100</f>
        <v>129200</v>
      </c>
      <c r="X470" s="42">
        <f>(T470-O470)/T470</f>
        <v>0.3</v>
      </c>
      <c r="Y470" s="45">
        <v>108500</v>
      </c>
      <c r="Z470" s="46">
        <f>T470-Y470</f>
        <v>4500</v>
      </c>
      <c r="AA470" s="47">
        <f>Z470/Y470</f>
        <v>4.1474654377880185E-2</v>
      </c>
      <c r="AB470" s="60"/>
    </row>
    <row r="471" spans="2:29" ht="14.4" customHeight="1">
      <c r="B471" s="4">
        <v>402</v>
      </c>
      <c r="C471" s="38" t="s">
        <v>731</v>
      </c>
      <c r="D471" s="5" t="str">
        <f>REPLACE(C471,1,3, )</f>
        <v xml:space="preserve"> 527</v>
      </c>
      <c r="E471" s="6" t="s">
        <v>731</v>
      </c>
      <c r="F471" s="7">
        <f>IF(C471=E471,0,1)</f>
        <v>0</v>
      </c>
      <c r="G471" s="8" t="s">
        <v>20</v>
      </c>
      <c r="H471" s="8" t="s">
        <v>323</v>
      </c>
      <c r="I471" s="8" t="s">
        <v>609</v>
      </c>
      <c r="J471" s="87">
        <v>65000</v>
      </c>
      <c r="K471" s="87">
        <f>J471-M471</f>
        <v>0</v>
      </c>
      <c r="L471" s="103" t="s">
        <v>1428</v>
      </c>
      <c r="M471" s="86">
        <f>J471</f>
        <v>65000</v>
      </c>
      <c r="N471" s="87">
        <f>2000+3450+800+200+250+400</f>
        <v>7100</v>
      </c>
      <c r="O471" s="101">
        <f>M471+N471</f>
        <v>72100</v>
      </c>
      <c r="P471" s="95" t="s">
        <v>1432</v>
      </c>
      <c r="Q471" s="88" t="s">
        <v>1419</v>
      </c>
      <c r="R471" s="36"/>
      <c r="S471" s="36">
        <f>R471+O471</f>
        <v>72100</v>
      </c>
      <c r="T471" s="36">
        <f>S471/0.7</f>
        <v>103000</v>
      </c>
      <c r="U471" s="40">
        <f>T471/0.875</f>
        <v>117714.28571428571</v>
      </c>
      <c r="V471" s="41">
        <f>(U471-T471)/U471</f>
        <v>0.12499999999999997</v>
      </c>
      <c r="W471" s="40">
        <f>(ROUNDUP((U471/100),0))*100</f>
        <v>117800</v>
      </c>
      <c r="X471" s="42">
        <f>(T471-O471)/T471</f>
        <v>0.3</v>
      </c>
      <c r="Y471" s="45">
        <v>110163</v>
      </c>
      <c r="Z471" s="46">
        <f>T471-Y471</f>
        <v>-7163</v>
      </c>
      <c r="AA471" s="47">
        <f>Z471/Y471</f>
        <v>-6.5021831286366572E-2</v>
      </c>
      <c r="AB471" s="60"/>
    </row>
    <row r="472" spans="2:29" ht="14.4" customHeight="1">
      <c r="B472" s="4">
        <v>403</v>
      </c>
      <c r="C472" s="5" t="s">
        <v>280</v>
      </c>
      <c r="D472" s="5" t="str">
        <f>REPLACE(C472,1,3, )</f>
        <v xml:space="preserve"> 641</v>
      </c>
      <c r="E472" s="6" t="s">
        <v>280</v>
      </c>
      <c r="F472" s="7">
        <f>IF(C472=E472,0,1)</f>
        <v>0</v>
      </c>
      <c r="G472" s="11" t="s">
        <v>298</v>
      </c>
      <c r="H472" s="11" t="s">
        <v>323</v>
      </c>
      <c r="I472" s="11" t="s">
        <v>367</v>
      </c>
      <c r="J472" s="12">
        <f>M472</f>
        <v>70000</v>
      </c>
      <c r="K472" s="13">
        <f>J472-M472</f>
        <v>0</v>
      </c>
      <c r="L472" s="17" t="s">
        <v>22</v>
      </c>
      <c r="M472" s="18">
        <v>70000</v>
      </c>
      <c r="N472" s="15">
        <f>2000+200+250+600+1000+3600+450</f>
        <v>8100</v>
      </c>
      <c r="O472" s="39">
        <f>M472+N472</f>
        <v>78100</v>
      </c>
      <c r="P472" s="95"/>
      <c r="Q472" s="3" t="s">
        <v>461</v>
      </c>
      <c r="R472" s="36"/>
      <c r="S472" s="36">
        <f>R472+O472</f>
        <v>78100</v>
      </c>
      <c r="T472" s="36">
        <f>S472/0.7</f>
        <v>111571.42857142858</v>
      </c>
      <c r="U472" s="40">
        <f>T472/0.875</f>
        <v>127510.20408163266</v>
      </c>
      <c r="V472" s="41">
        <f>(U472-T472)/U472</f>
        <v>0.125</v>
      </c>
      <c r="W472" s="40">
        <f>(ROUNDUP((U472/100),0))*100</f>
        <v>127600</v>
      </c>
      <c r="X472" s="42">
        <f>(T472-O472)/T472</f>
        <v>0.30000000000000004</v>
      </c>
      <c r="Y472" s="43"/>
      <c r="Z472" s="43"/>
      <c r="AA472" s="44"/>
      <c r="AB472" s="60"/>
    </row>
    <row r="473" spans="2:29" ht="14.4" customHeight="1">
      <c r="B473" s="4">
        <v>404</v>
      </c>
      <c r="C473" s="38" t="s">
        <v>732</v>
      </c>
      <c r="D473" s="5" t="str">
        <f>REPLACE(C473,1,3, )</f>
        <v xml:space="preserve"> 980</v>
      </c>
      <c r="E473" s="6" t="s">
        <v>732</v>
      </c>
      <c r="F473" s="7">
        <f>IF(C473=E473,0,1)</f>
        <v>0</v>
      </c>
      <c r="G473" s="8" t="s">
        <v>20</v>
      </c>
      <c r="H473" s="8" t="s">
        <v>323</v>
      </c>
      <c r="I473" s="8" t="s">
        <v>711</v>
      </c>
      <c r="J473" s="12">
        <f>M473</f>
        <v>62750</v>
      </c>
      <c r="K473" s="13">
        <f>J473-M473</f>
        <v>0</v>
      </c>
      <c r="L473" s="17" t="s">
        <v>22</v>
      </c>
      <c r="M473" s="18">
        <v>62750</v>
      </c>
      <c r="N473" s="15">
        <f>2000+600+200+250+1000+2400+3600</f>
        <v>10050</v>
      </c>
      <c r="O473" s="39">
        <f>M473+N473</f>
        <v>72800</v>
      </c>
      <c r="P473" s="95"/>
      <c r="Q473" s="77" t="s">
        <v>1387</v>
      </c>
      <c r="R473" s="36"/>
      <c r="S473" s="36">
        <f>R473+O473</f>
        <v>72800</v>
      </c>
      <c r="T473" s="36">
        <f>S473/0.7</f>
        <v>104000</v>
      </c>
      <c r="U473" s="40">
        <f>T473/0.875</f>
        <v>118857.14285714286</v>
      </c>
      <c r="V473" s="41">
        <f>(U473-T473)/U473</f>
        <v>0.12499999999999999</v>
      </c>
      <c r="W473" s="40">
        <f>(ROUNDUP((U473/100),0))*100</f>
        <v>118900</v>
      </c>
      <c r="X473" s="42">
        <f>(T473-O473)/T473</f>
        <v>0.3</v>
      </c>
      <c r="Y473" s="45">
        <v>99225</v>
      </c>
      <c r="Z473" s="46">
        <f>T473-Y473</f>
        <v>4775</v>
      </c>
      <c r="AA473" s="47">
        <f>Z473/Y473</f>
        <v>4.8122952884857649E-2</v>
      </c>
      <c r="AB473" s="60"/>
    </row>
    <row r="474" spans="2:29" ht="14.4" customHeight="1">
      <c r="B474" s="4">
        <v>405</v>
      </c>
      <c r="C474" s="5" t="s">
        <v>281</v>
      </c>
      <c r="D474" s="5" t="str">
        <f>REPLACE(C474,1,3, )</f>
        <v xml:space="preserve"> 680</v>
      </c>
      <c r="E474" s="6" t="s">
        <v>281</v>
      </c>
      <c r="F474" s="7">
        <f>IF(C474=E474,0,1)</f>
        <v>0</v>
      </c>
      <c r="G474" s="11" t="s">
        <v>298</v>
      </c>
      <c r="H474" s="11" t="s">
        <v>323</v>
      </c>
      <c r="I474" s="11" t="s">
        <v>367</v>
      </c>
      <c r="J474" s="12">
        <f>M474</f>
        <v>67500</v>
      </c>
      <c r="K474" s="13">
        <f>J474-M474</f>
        <v>0</v>
      </c>
      <c r="L474" s="17" t="s">
        <v>22</v>
      </c>
      <c r="M474" s="18">
        <v>67500</v>
      </c>
      <c r="N474" s="15">
        <f>2000+200+250+600+1000+3600+450</f>
        <v>8100</v>
      </c>
      <c r="O474" s="39">
        <f>M474+N474</f>
        <v>75600</v>
      </c>
      <c r="P474" s="95"/>
      <c r="Q474" s="3" t="s">
        <v>461</v>
      </c>
      <c r="R474" s="36"/>
      <c r="S474" s="36">
        <f>R474+O474</f>
        <v>75600</v>
      </c>
      <c r="T474" s="36">
        <f>S474/0.7</f>
        <v>108000</v>
      </c>
      <c r="U474" s="40">
        <f>T474/0.875</f>
        <v>123428.57142857143</v>
      </c>
      <c r="V474" s="41">
        <f>(U474-T474)/U474</f>
        <v>0.12500000000000006</v>
      </c>
      <c r="W474" s="40">
        <f>(ROUNDUP((U474/100),0))*100</f>
        <v>123500</v>
      </c>
      <c r="X474" s="42">
        <f>(T474-O474)/T474</f>
        <v>0.3</v>
      </c>
      <c r="Y474" s="43"/>
      <c r="Z474" s="43"/>
      <c r="AA474" s="43"/>
      <c r="AB474" s="59"/>
    </row>
    <row r="475" spans="2:29" ht="14.4" customHeight="1">
      <c r="B475" s="4">
        <v>406</v>
      </c>
      <c r="C475" s="38" t="s">
        <v>733</v>
      </c>
      <c r="D475" s="5" t="str">
        <f>REPLACE(C475,1,3, )</f>
        <v xml:space="preserve"> 703</v>
      </c>
      <c r="E475" s="6" t="s">
        <v>733</v>
      </c>
      <c r="F475" s="7">
        <f>IF(C475=E475,0,1)</f>
        <v>0</v>
      </c>
      <c r="G475" s="8" t="s">
        <v>20</v>
      </c>
      <c r="H475" s="8" t="s">
        <v>323</v>
      </c>
      <c r="I475" s="8" t="s">
        <v>725</v>
      </c>
      <c r="J475" s="87">
        <v>58500</v>
      </c>
      <c r="K475" s="87">
        <f>J475-M475</f>
        <v>0</v>
      </c>
      <c r="L475" s="103" t="s">
        <v>1428</v>
      </c>
      <c r="M475" s="86">
        <f>J475</f>
        <v>58500</v>
      </c>
      <c r="N475" s="87">
        <f>2000+3450+800+200+250+700</f>
        <v>7400</v>
      </c>
      <c r="O475" s="101">
        <f>M475+N475</f>
        <v>65900</v>
      </c>
      <c r="P475" s="95"/>
      <c r="Q475" s="88" t="s">
        <v>1410</v>
      </c>
      <c r="R475" s="36"/>
      <c r="S475" s="36">
        <f>R475+O475</f>
        <v>65900</v>
      </c>
      <c r="T475" s="36">
        <f>S475/0.7</f>
        <v>94142.857142857145</v>
      </c>
      <c r="U475" s="40">
        <f>T475/0.875</f>
        <v>107591.83673469388</v>
      </c>
      <c r="V475" s="41">
        <f>(U475-T475)/U475</f>
        <v>0.12499999999999997</v>
      </c>
      <c r="W475" s="40">
        <f>(ROUNDUP((U475/100),0))*100</f>
        <v>107600</v>
      </c>
      <c r="X475" s="42">
        <f>(T475-O475)/T475</f>
        <v>0.3</v>
      </c>
      <c r="Y475" s="45">
        <v>99925</v>
      </c>
      <c r="Z475" s="46">
        <f>T475-Y475</f>
        <v>-5782.1428571428551</v>
      </c>
      <c r="AA475" s="47">
        <f>Z475/Y475</f>
        <v>-5.786482719182242E-2</v>
      </c>
      <c r="AB475" s="60"/>
    </row>
    <row r="476" spans="2:29" ht="14.4" customHeight="1">
      <c r="B476" s="4">
        <v>407</v>
      </c>
      <c r="C476" s="38" t="s">
        <v>734</v>
      </c>
      <c r="D476" s="5" t="str">
        <f>REPLACE(C476,1,3, )</f>
        <v xml:space="preserve"> 171</v>
      </c>
      <c r="E476" s="6" t="s">
        <v>734</v>
      </c>
      <c r="F476" s="7">
        <f>IF(C476=E476,0,1)</f>
        <v>0</v>
      </c>
      <c r="G476" s="8" t="s">
        <v>20</v>
      </c>
      <c r="H476" s="8" t="s">
        <v>323</v>
      </c>
      <c r="I476" s="8" t="s">
        <v>735</v>
      </c>
      <c r="J476" s="12">
        <f>M476</f>
        <v>74000</v>
      </c>
      <c r="K476" s="13">
        <f>J476-M476</f>
        <v>0</v>
      </c>
      <c r="L476" s="17" t="s">
        <v>22</v>
      </c>
      <c r="M476" s="18">
        <v>74000</v>
      </c>
      <c r="N476" s="15">
        <f>2000+600+200+250+700+3600</f>
        <v>7350</v>
      </c>
      <c r="O476" s="39">
        <f>M476+N476</f>
        <v>81350</v>
      </c>
      <c r="P476" s="95"/>
      <c r="Q476" s="77" t="s">
        <v>1365</v>
      </c>
      <c r="R476" s="36"/>
      <c r="S476" s="36">
        <f>R476+O476</f>
        <v>81350</v>
      </c>
      <c r="T476" s="36">
        <f>S476/0.7</f>
        <v>116214.28571428572</v>
      </c>
      <c r="U476" s="40">
        <f>T476/0.875</f>
        <v>132816.32653061225</v>
      </c>
      <c r="V476" s="41">
        <f>(U476-T476)/U476</f>
        <v>0.12499999999999994</v>
      </c>
      <c r="W476" s="40">
        <f>(ROUNDUP((U476/100),0))*100</f>
        <v>132900</v>
      </c>
      <c r="X476" s="42">
        <f>(T476-O476)/T476</f>
        <v>0.30000000000000004</v>
      </c>
      <c r="Y476" s="45">
        <v>117788</v>
      </c>
      <c r="Z476" s="46">
        <f>T476-Y476</f>
        <v>-1573.7142857142753</v>
      </c>
      <c r="AA476" s="47">
        <f>Z476/Y476</f>
        <v>-1.3360565471136919E-2</v>
      </c>
      <c r="AB476" s="60"/>
    </row>
    <row r="477" spans="2:29" ht="14.4" customHeight="1">
      <c r="B477" s="4">
        <v>408</v>
      </c>
      <c r="C477" s="38" t="s">
        <v>736</v>
      </c>
      <c r="D477" s="5" t="str">
        <f>REPLACE(C477,1,3, )</f>
        <v xml:space="preserve"> 744</v>
      </c>
      <c r="E477" s="6" t="s">
        <v>736</v>
      </c>
      <c r="F477" s="7">
        <f>IF(C477=E477,0,1)</f>
        <v>0</v>
      </c>
      <c r="G477" s="8" t="s">
        <v>20</v>
      </c>
      <c r="H477" s="8" t="s">
        <v>323</v>
      </c>
      <c r="I477" s="8" t="s">
        <v>711</v>
      </c>
      <c r="J477" s="12">
        <f>M477</f>
        <v>80250</v>
      </c>
      <c r="K477" s="13">
        <f>J477-M477</f>
        <v>0</v>
      </c>
      <c r="L477" s="17" t="s">
        <v>22</v>
      </c>
      <c r="M477" s="18">
        <v>80250</v>
      </c>
      <c r="N477" s="15">
        <f>2000+600+200+250+3600</f>
        <v>6650</v>
      </c>
      <c r="O477" s="39">
        <f>M477+N477</f>
        <v>86900</v>
      </c>
      <c r="P477" s="95"/>
      <c r="Q477" s="77" t="s">
        <v>1385</v>
      </c>
      <c r="R477" s="36"/>
      <c r="S477" s="36">
        <f>R477+O477</f>
        <v>86900</v>
      </c>
      <c r="T477" s="36">
        <f>S477/0.7</f>
        <v>124142.85714285714</v>
      </c>
      <c r="U477" s="40">
        <f>T477/0.875</f>
        <v>141877.55102040817</v>
      </c>
      <c r="V477" s="41">
        <f>(U477-T477)/U477</f>
        <v>0.125</v>
      </c>
      <c r="W477" s="40">
        <f>(ROUNDUP((U477/100),0))*100</f>
        <v>141900</v>
      </c>
      <c r="X477" s="42">
        <f>(T477-O477)/T477</f>
        <v>0.3</v>
      </c>
      <c r="Y477" s="45">
        <v>116725</v>
      </c>
      <c r="Z477" s="46">
        <f>T477-Y477</f>
        <v>7417.8571428571449</v>
      </c>
      <c r="AA477" s="47">
        <f>Z477/Y477</f>
        <v>6.3549857724199146E-2</v>
      </c>
      <c r="AB477" s="60"/>
    </row>
    <row r="478" spans="2:29" ht="14.4" customHeight="1">
      <c r="B478" s="4">
        <v>409</v>
      </c>
      <c r="C478" s="38" t="s">
        <v>737</v>
      </c>
      <c r="D478" s="5" t="str">
        <f>REPLACE(C478,1,3, )</f>
        <v xml:space="preserve"> 677</v>
      </c>
      <c r="E478" s="6" t="s">
        <v>737</v>
      </c>
      <c r="F478" s="7">
        <f>IF(C478=E478,0,1)</f>
        <v>0</v>
      </c>
      <c r="G478" s="8" t="s">
        <v>298</v>
      </c>
      <c r="H478" s="8" t="s">
        <v>323</v>
      </c>
      <c r="I478" s="8" t="s">
        <v>738</v>
      </c>
      <c r="J478" s="12">
        <v>80000</v>
      </c>
      <c r="K478" s="13">
        <f>J478-M478</f>
        <v>7650</v>
      </c>
      <c r="L478" s="7" t="s">
        <v>23</v>
      </c>
      <c r="M478" s="14">
        <f>J478-N478</f>
        <v>72350</v>
      </c>
      <c r="N478" s="15">
        <f>2000+200+600+1000+250+3600</f>
        <v>7650</v>
      </c>
      <c r="O478" s="39">
        <f>M478+N478</f>
        <v>80000</v>
      </c>
      <c r="P478" s="95"/>
      <c r="Q478" s="77" t="s">
        <v>1539</v>
      </c>
      <c r="R478" s="36"/>
      <c r="S478" s="36">
        <f>R478+O478</f>
        <v>80000</v>
      </c>
      <c r="T478" s="36">
        <f>S478/0.7</f>
        <v>114285.71428571429</v>
      </c>
      <c r="U478" s="40">
        <f>T478/0.875</f>
        <v>130612.24489795919</v>
      </c>
      <c r="V478" s="41">
        <f>(U478-T478)/U478</f>
        <v>0.12499999999999999</v>
      </c>
      <c r="W478" s="40">
        <f>(ROUNDUP((U478/100),0))*100</f>
        <v>130700</v>
      </c>
      <c r="X478" s="42">
        <f>(T478-O478)/T478</f>
        <v>0.30000000000000004</v>
      </c>
      <c r="Y478" s="43"/>
      <c r="Z478" s="43"/>
      <c r="AA478" s="43"/>
      <c r="AB478" s="59"/>
    </row>
    <row r="479" spans="2:29" ht="14.4" customHeight="1">
      <c r="B479" s="4">
        <v>410</v>
      </c>
      <c r="C479" s="5" t="s">
        <v>1348</v>
      </c>
      <c r="D479" s="5" t="str">
        <f>REPLACE(C479,1,3, )</f>
        <v xml:space="preserve"> 774</v>
      </c>
      <c r="E479" s="6" t="s">
        <v>1348</v>
      </c>
      <c r="F479" s="7">
        <f>IF(C479=E479,0,1)</f>
        <v>0</v>
      </c>
      <c r="G479" s="11" t="s">
        <v>298</v>
      </c>
      <c r="H479" s="11" t="s">
        <v>323</v>
      </c>
      <c r="I479" s="11" t="s">
        <v>369</v>
      </c>
      <c r="J479" s="12">
        <f>M479</f>
        <v>69000</v>
      </c>
      <c r="K479" s="13">
        <f>J479-M479</f>
        <v>0</v>
      </c>
      <c r="L479" s="17" t="s">
        <v>22</v>
      </c>
      <c r="M479" s="18">
        <v>69000</v>
      </c>
      <c r="N479" s="15">
        <f>2000+200+600+250+1000+3600+450</f>
        <v>8100</v>
      </c>
      <c r="O479" s="39">
        <f>M479+N479</f>
        <v>77100</v>
      </c>
      <c r="P479" s="95"/>
      <c r="Q479" s="3" t="s">
        <v>464</v>
      </c>
      <c r="R479" s="36">
        <v>2500</v>
      </c>
      <c r="S479" s="36">
        <f>R479+O479</f>
        <v>79600</v>
      </c>
      <c r="T479" s="36">
        <f>S479/0.7</f>
        <v>113714.28571428572</v>
      </c>
      <c r="U479" s="40">
        <f>T479/0.875</f>
        <v>129959.18367346939</v>
      </c>
      <c r="V479" s="41">
        <f>(U479-T479)/U479</f>
        <v>0.12499999999999996</v>
      </c>
      <c r="W479" s="40">
        <f>(ROUNDUP((U479/100),0))*100</f>
        <v>130000</v>
      </c>
      <c r="X479" s="42">
        <f>(T479-O479)/T479</f>
        <v>0.32198492462311562</v>
      </c>
      <c r="Y479" s="43"/>
      <c r="Z479" s="43"/>
      <c r="AA479" s="44"/>
      <c r="AB479" s="60"/>
    </row>
    <row r="480" spans="2:29" ht="14.4" customHeight="1">
      <c r="B480" s="4">
        <v>411</v>
      </c>
      <c r="C480" s="38" t="s">
        <v>739</v>
      </c>
      <c r="D480" s="5" t="str">
        <f>REPLACE(C480,1,3, )</f>
        <v xml:space="preserve"> 971</v>
      </c>
      <c r="E480" s="6" t="s">
        <v>739</v>
      </c>
      <c r="F480" s="7">
        <f>IF(C480=E480,0,1)</f>
        <v>0</v>
      </c>
      <c r="G480" s="8" t="s">
        <v>298</v>
      </c>
      <c r="H480" s="8" t="s">
        <v>323</v>
      </c>
      <c r="I480" s="8" t="s">
        <v>711</v>
      </c>
      <c r="J480" s="12">
        <f>M480</f>
        <v>67750</v>
      </c>
      <c r="K480" s="13">
        <f>J480-M480</f>
        <v>0</v>
      </c>
      <c r="L480" s="17" t="s">
        <v>22</v>
      </c>
      <c r="M480" s="18">
        <v>67750</v>
      </c>
      <c r="N480" s="15">
        <f>2000+600+200+250+1000+3600</f>
        <v>7650</v>
      </c>
      <c r="O480" s="39">
        <f>M480+N480</f>
        <v>75400</v>
      </c>
      <c r="P480" s="95"/>
      <c r="Q480" s="77" t="s">
        <v>1393</v>
      </c>
      <c r="R480" s="36"/>
      <c r="S480" s="36">
        <f>R480+O480</f>
        <v>75400</v>
      </c>
      <c r="T480" s="36">
        <f>S480/0.7</f>
        <v>107714.28571428572</v>
      </c>
      <c r="U480" s="40">
        <f>T480/0.875</f>
        <v>123102.04081632654</v>
      </c>
      <c r="V480" s="41">
        <f>(U480-T480)/U480</f>
        <v>0.12499999999999997</v>
      </c>
      <c r="W480" s="40">
        <f>(ROUNDUP((U480/100),0))*100</f>
        <v>123200</v>
      </c>
      <c r="X480" s="42">
        <f>(T480-O480)/T480</f>
        <v>0.30000000000000004</v>
      </c>
      <c r="Y480" s="43"/>
      <c r="Z480" s="43"/>
      <c r="AA480" s="44"/>
      <c r="AB480" s="60"/>
    </row>
    <row r="481" spans="2:28" ht="14.4" customHeight="1">
      <c r="B481" s="4">
        <v>412</v>
      </c>
      <c r="C481" s="5" t="s">
        <v>291</v>
      </c>
      <c r="D481" s="5" t="str">
        <f>REPLACE(C481,1,3, )</f>
        <v xml:space="preserve"> 940</v>
      </c>
      <c r="E481" s="6" t="s">
        <v>291</v>
      </c>
      <c r="F481" s="7">
        <f>IF(C481=E481,0,1)</f>
        <v>0</v>
      </c>
      <c r="G481" s="11" t="s">
        <v>298</v>
      </c>
      <c r="H481" s="11" t="s">
        <v>323</v>
      </c>
      <c r="I481" s="11" t="s">
        <v>369</v>
      </c>
      <c r="J481" s="12">
        <f>M481</f>
        <v>65000</v>
      </c>
      <c r="K481" s="13">
        <f>J481-M481</f>
        <v>0</v>
      </c>
      <c r="L481" s="17" t="s">
        <v>22</v>
      </c>
      <c r="M481" s="18">
        <v>65000</v>
      </c>
      <c r="N481" s="15">
        <f>2000+200+600+250+1000+3600+450</f>
        <v>8100</v>
      </c>
      <c r="O481" s="39">
        <f>M481+N481</f>
        <v>73100</v>
      </c>
      <c r="P481" s="95"/>
      <c r="Q481" s="3" t="s">
        <v>464</v>
      </c>
      <c r="R481" s="36">
        <v>2500</v>
      </c>
      <c r="S481" s="36">
        <f>R481+O481</f>
        <v>75600</v>
      </c>
      <c r="T481" s="36">
        <f>S481/0.7</f>
        <v>108000</v>
      </c>
      <c r="U481" s="40">
        <f>T481/0.875</f>
        <v>123428.57142857143</v>
      </c>
      <c r="V481" s="41">
        <f>(U481-T481)/U481</f>
        <v>0.12500000000000006</v>
      </c>
      <c r="W481" s="40">
        <f>(ROUNDUP((U481/100),0))*100</f>
        <v>123500</v>
      </c>
      <c r="X481" s="42">
        <f>(T481-O481)/T481</f>
        <v>0.32314814814814813</v>
      </c>
      <c r="Y481" s="43"/>
      <c r="Z481" s="43"/>
      <c r="AA481" s="43"/>
      <c r="AB481" s="59"/>
    </row>
    <row r="482" spans="2:28" ht="14.4" customHeight="1">
      <c r="B482" s="4">
        <v>413</v>
      </c>
      <c r="C482" s="38" t="s">
        <v>740</v>
      </c>
      <c r="D482" s="5" t="str">
        <f>REPLACE(C482,1,3, )</f>
        <v xml:space="preserve"> 607</v>
      </c>
      <c r="E482" s="6" t="s">
        <v>740</v>
      </c>
      <c r="F482" s="7">
        <f>IF(C482=E482,0,1)</f>
        <v>0</v>
      </c>
      <c r="G482" s="8" t="s">
        <v>298</v>
      </c>
      <c r="H482" s="8" t="s">
        <v>323</v>
      </c>
      <c r="I482" s="8" t="s">
        <v>711</v>
      </c>
      <c r="J482" s="12">
        <f>M482</f>
        <v>68250</v>
      </c>
      <c r="K482" s="13">
        <f>J482-M482</f>
        <v>0</v>
      </c>
      <c r="L482" s="17" t="s">
        <v>22</v>
      </c>
      <c r="M482" s="18">
        <v>68250</v>
      </c>
      <c r="N482" s="15">
        <f>2000+600+200+250+1000+3600</f>
        <v>7650</v>
      </c>
      <c r="O482" s="39">
        <f>M482+N482</f>
        <v>75900</v>
      </c>
      <c r="P482" s="95"/>
      <c r="Q482" s="77" t="s">
        <v>1393</v>
      </c>
      <c r="R482" s="36"/>
      <c r="S482" s="36">
        <f>R482+O482</f>
        <v>75900</v>
      </c>
      <c r="T482" s="36">
        <f>S482/0.7</f>
        <v>108428.57142857143</v>
      </c>
      <c r="U482" s="40">
        <f>T482/0.875</f>
        <v>123918.36734693879</v>
      </c>
      <c r="V482" s="41">
        <f>(U482-T482)/U482</f>
        <v>0.12500000000000003</v>
      </c>
      <c r="W482" s="40">
        <f>(ROUNDUP((U482/100),0))*100</f>
        <v>124000</v>
      </c>
      <c r="X482" s="42">
        <f>(T482-O482)/T482</f>
        <v>0.30000000000000004</v>
      </c>
      <c r="Y482" s="43"/>
      <c r="Z482" s="43"/>
      <c r="AA482" s="43"/>
      <c r="AB482" s="59"/>
    </row>
    <row r="483" spans="2:28" ht="14.4" customHeight="1">
      <c r="B483" s="4">
        <v>414</v>
      </c>
      <c r="C483" s="5" t="s">
        <v>294</v>
      </c>
      <c r="D483" s="5" t="str">
        <f>REPLACE(C483,1,3, )</f>
        <v xml:space="preserve"> 479</v>
      </c>
      <c r="E483" s="6" t="s">
        <v>294</v>
      </c>
      <c r="F483" s="7">
        <f>IF(C483=E483,0,1)</f>
        <v>0</v>
      </c>
      <c r="G483" s="11" t="s">
        <v>298</v>
      </c>
      <c r="H483" s="11" t="s">
        <v>323</v>
      </c>
      <c r="I483" s="11" t="s">
        <v>369</v>
      </c>
      <c r="J483" s="12">
        <f>M483</f>
        <v>69000</v>
      </c>
      <c r="K483" s="13">
        <f>J483-M483</f>
        <v>0</v>
      </c>
      <c r="L483" s="17" t="s">
        <v>22</v>
      </c>
      <c r="M483" s="18">
        <v>69000</v>
      </c>
      <c r="N483" s="15">
        <f>2000+200+600+250+1000+3600+450</f>
        <v>8100</v>
      </c>
      <c r="O483" s="39">
        <f>M483+N483</f>
        <v>77100</v>
      </c>
      <c r="P483" s="95"/>
      <c r="Q483" s="3" t="s">
        <v>464</v>
      </c>
      <c r="R483" s="36">
        <v>2500</v>
      </c>
      <c r="S483" s="36">
        <f>R483+O483</f>
        <v>79600</v>
      </c>
      <c r="T483" s="36">
        <f>S483/0.7</f>
        <v>113714.28571428572</v>
      </c>
      <c r="U483" s="40">
        <f>T483/0.875</f>
        <v>129959.18367346939</v>
      </c>
      <c r="V483" s="41">
        <f>(U483-T483)/U483</f>
        <v>0.12499999999999996</v>
      </c>
      <c r="W483" s="40">
        <f>(ROUNDUP((U483/100),0))*100</f>
        <v>130000</v>
      </c>
      <c r="X483" s="42">
        <f>(T483-O483)/T483</f>
        <v>0.32198492462311562</v>
      </c>
      <c r="Y483" s="43"/>
      <c r="Z483" s="43"/>
      <c r="AA483" s="44"/>
      <c r="AB483" s="60"/>
    </row>
    <row r="484" spans="2:28" ht="14.4" customHeight="1">
      <c r="B484" s="4">
        <v>415</v>
      </c>
      <c r="C484" s="5" t="s">
        <v>293</v>
      </c>
      <c r="D484" s="5" t="str">
        <f>REPLACE(C484,1,3, )</f>
        <v xml:space="preserve"> 618</v>
      </c>
      <c r="E484" s="6" t="s">
        <v>293</v>
      </c>
      <c r="F484" s="7">
        <f>IF(C484=E484,0,1)</f>
        <v>0</v>
      </c>
      <c r="G484" s="11" t="s">
        <v>298</v>
      </c>
      <c r="H484" s="11" t="s">
        <v>323</v>
      </c>
      <c r="I484" s="11" t="s">
        <v>369</v>
      </c>
      <c r="J484" s="12">
        <f>M484</f>
        <v>91000</v>
      </c>
      <c r="K484" s="13">
        <f>J484-M484</f>
        <v>0</v>
      </c>
      <c r="L484" s="17" t="s">
        <v>22</v>
      </c>
      <c r="M484" s="18">
        <v>91000</v>
      </c>
      <c r="N484" s="15">
        <f>2000+200+600+250+1000+3600+450</f>
        <v>8100</v>
      </c>
      <c r="O484" s="39">
        <f>M484+N484</f>
        <v>99100</v>
      </c>
      <c r="P484" s="95"/>
      <c r="Q484" s="3" t="s">
        <v>464</v>
      </c>
      <c r="R484" s="36">
        <v>2500</v>
      </c>
      <c r="S484" s="36">
        <f>R484+O484</f>
        <v>101600</v>
      </c>
      <c r="T484" s="36">
        <f>S484/0.7</f>
        <v>145142.85714285716</v>
      </c>
      <c r="U484" s="40">
        <f>T484/0.875</f>
        <v>165877.55102040819</v>
      </c>
      <c r="V484" s="41">
        <f>(U484-T484)/U484</f>
        <v>0.12500000000000006</v>
      </c>
      <c r="W484" s="40">
        <f>(ROUNDUP((U484/100),0))*100</f>
        <v>165900</v>
      </c>
      <c r="X484" s="42">
        <f>(T484-O484)/T484</f>
        <v>0.31722440944881897</v>
      </c>
      <c r="Y484" s="43"/>
      <c r="Z484" s="43"/>
      <c r="AA484" s="43"/>
      <c r="AB484" s="59"/>
    </row>
    <row r="485" spans="2:28" ht="14.4" customHeight="1">
      <c r="B485" s="4">
        <v>416</v>
      </c>
      <c r="C485" s="38" t="s">
        <v>741</v>
      </c>
      <c r="D485" s="5" t="str">
        <f>REPLACE(C485,1,3, )</f>
        <v xml:space="preserve"> 256</v>
      </c>
      <c r="E485" s="6" t="s">
        <v>741</v>
      </c>
      <c r="F485" s="7">
        <f>IF(C485=E485,0,1)</f>
        <v>0</v>
      </c>
      <c r="G485" s="8" t="s">
        <v>298</v>
      </c>
      <c r="H485" s="8" t="s">
        <v>323</v>
      </c>
      <c r="I485" s="8" t="s">
        <v>707</v>
      </c>
      <c r="J485" s="12">
        <f>M485</f>
        <v>74000</v>
      </c>
      <c r="K485" s="13">
        <f>J485-M485</f>
        <v>0</v>
      </c>
      <c r="L485" s="17" t="s">
        <v>22</v>
      </c>
      <c r="M485" s="18">
        <v>74000</v>
      </c>
      <c r="N485" s="15">
        <f>2000+200+250+600+1000+3600</f>
        <v>7650</v>
      </c>
      <c r="O485" s="39">
        <f>M485+N485</f>
        <v>81650</v>
      </c>
      <c r="P485" s="94"/>
      <c r="Q485" s="77" t="s">
        <v>1437</v>
      </c>
      <c r="R485" s="36"/>
      <c r="S485" s="36">
        <f>R485+O485</f>
        <v>81650</v>
      </c>
      <c r="T485" s="36">
        <f>S485/0.7</f>
        <v>116642.85714285714</v>
      </c>
      <c r="U485" s="40">
        <f>T485/0.875</f>
        <v>133306.12244897959</v>
      </c>
      <c r="V485" s="41">
        <f>(U485-T485)/U485</f>
        <v>0.12499999999999994</v>
      </c>
      <c r="W485" s="40">
        <f>(ROUNDUP((U485/100),0))*100</f>
        <v>133400</v>
      </c>
      <c r="X485" s="42">
        <f>(T485-O485)/T485</f>
        <v>0.3</v>
      </c>
      <c r="Y485" s="43"/>
      <c r="Z485" s="43"/>
      <c r="AA485" s="43"/>
      <c r="AB485" s="59"/>
    </row>
    <row r="486" spans="2:28" ht="14.4" customHeight="1">
      <c r="B486" s="4">
        <v>417</v>
      </c>
      <c r="C486" s="38" t="s">
        <v>742</v>
      </c>
      <c r="D486" s="5" t="str">
        <f>REPLACE(C486,1,3, )</f>
        <v xml:space="preserve"> 483</v>
      </c>
      <c r="E486" s="6" t="s">
        <v>742</v>
      </c>
      <c r="F486" s="7">
        <f>IF(C486=E486,0,1)</f>
        <v>0</v>
      </c>
      <c r="G486" s="8" t="s">
        <v>298</v>
      </c>
      <c r="H486" s="8" t="s">
        <v>323</v>
      </c>
      <c r="I486" s="8" t="s">
        <v>711</v>
      </c>
      <c r="J486" s="12">
        <f>M486</f>
        <v>71750</v>
      </c>
      <c r="K486" s="13">
        <f>J486-M486</f>
        <v>0</v>
      </c>
      <c r="L486" s="17" t="s">
        <v>22</v>
      </c>
      <c r="M486" s="18">
        <v>71750</v>
      </c>
      <c r="N486" s="15">
        <f>2000+200+250+600+650+3600</f>
        <v>7300</v>
      </c>
      <c r="O486" s="39">
        <f>M486+N486</f>
        <v>79050</v>
      </c>
      <c r="P486" s="95"/>
      <c r="Q486" s="77" t="s">
        <v>1434</v>
      </c>
      <c r="R486" s="36"/>
      <c r="S486" s="36">
        <f>R486+O486</f>
        <v>79050</v>
      </c>
      <c r="T486" s="36">
        <f>S486/0.7</f>
        <v>112928.57142857143</v>
      </c>
      <c r="U486" s="40">
        <f>T486/0.875</f>
        <v>129061.22448979593</v>
      </c>
      <c r="V486" s="41">
        <f>(U486-T486)/U486</f>
        <v>0.12500000000000006</v>
      </c>
      <c r="W486" s="40">
        <f>(ROUNDUP((U486/100),0))*100</f>
        <v>129100</v>
      </c>
      <c r="X486" s="42">
        <f>(T486-O486)/T486</f>
        <v>0.30000000000000004</v>
      </c>
      <c r="Y486" s="43"/>
      <c r="Z486" s="43"/>
      <c r="AA486" s="43"/>
      <c r="AB486" s="59"/>
    </row>
    <row r="487" spans="2:28" ht="14.4" customHeight="1">
      <c r="B487" s="4">
        <v>418</v>
      </c>
      <c r="C487" s="5" t="s">
        <v>282</v>
      </c>
      <c r="D487" s="5" t="str">
        <f>REPLACE(C487,1,3, )</f>
        <v xml:space="preserve"> 179</v>
      </c>
      <c r="E487" s="6" t="s">
        <v>282</v>
      </c>
      <c r="F487" s="7">
        <f>IF(C487=E487,0,1)</f>
        <v>0</v>
      </c>
      <c r="G487" s="11" t="s">
        <v>298</v>
      </c>
      <c r="H487" s="11" t="s">
        <v>323</v>
      </c>
      <c r="I487" s="11" t="s">
        <v>367</v>
      </c>
      <c r="J487" s="12">
        <f>M487</f>
        <v>72500</v>
      </c>
      <c r="K487" s="13">
        <f>J487-M487</f>
        <v>0</v>
      </c>
      <c r="L487" s="17" t="s">
        <v>22</v>
      </c>
      <c r="M487" s="18">
        <v>72500</v>
      </c>
      <c r="N487" s="15">
        <f>2000+200+250+600+1000+3600+450</f>
        <v>8100</v>
      </c>
      <c r="O487" s="39">
        <f>M487+N487</f>
        <v>80600</v>
      </c>
      <c r="P487" s="95"/>
      <c r="Q487" s="3" t="s">
        <v>461</v>
      </c>
      <c r="R487" s="36"/>
      <c r="S487" s="36">
        <f>R487+O487</f>
        <v>80600</v>
      </c>
      <c r="T487" s="36">
        <f>S487/0.7</f>
        <v>115142.85714285714</v>
      </c>
      <c r="U487" s="40">
        <f>T487/0.875</f>
        <v>131591.83673469388</v>
      </c>
      <c r="V487" s="41">
        <f>(U487-T487)/U487</f>
        <v>0.12499999999999997</v>
      </c>
      <c r="W487" s="40">
        <f>(ROUNDUP((U487/100),0))*100</f>
        <v>131600</v>
      </c>
      <c r="X487" s="42">
        <f>(T487-O487)/T487</f>
        <v>0.3</v>
      </c>
      <c r="Y487" s="43"/>
      <c r="Z487" s="43"/>
      <c r="AA487" s="44"/>
      <c r="AB487" s="60"/>
    </row>
    <row r="488" spans="2:28" ht="14.4" customHeight="1">
      <c r="B488" s="4">
        <v>419</v>
      </c>
      <c r="C488" s="38" t="s">
        <v>743</v>
      </c>
      <c r="D488" s="5" t="str">
        <f>REPLACE(C488,1,3, )</f>
        <v xml:space="preserve"> 526</v>
      </c>
      <c r="E488" s="6" t="s">
        <v>743</v>
      </c>
      <c r="F488" s="7">
        <f>IF(C488=E488,0,1)</f>
        <v>0</v>
      </c>
      <c r="G488" s="8" t="s">
        <v>20</v>
      </c>
      <c r="H488" s="8" t="s">
        <v>323</v>
      </c>
      <c r="I488" s="8" t="s">
        <v>711</v>
      </c>
      <c r="J488" s="12">
        <f>M488</f>
        <v>72250</v>
      </c>
      <c r="K488" s="13">
        <f>J488-M488</f>
        <v>0</v>
      </c>
      <c r="L488" s="17" t="s">
        <v>22</v>
      </c>
      <c r="M488" s="18">
        <v>72250</v>
      </c>
      <c r="N488" s="15">
        <f>2000+600+200+250+100+3600</f>
        <v>6750</v>
      </c>
      <c r="O488" s="39">
        <f>M488+N488</f>
        <v>79000</v>
      </c>
      <c r="P488" s="95"/>
      <c r="Q488" s="77" t="s">
        <v>1391</v>
      </c>
      <c r="R488" s="36"/>
      <c r="S488" s="36">
        <f>R488+O488</f>
        <v>79000</v>
      </c>
      <c r="T488" s="36">
        <f>S488/0.7</f>
        <v>112857.14285714287</v>
      </c>
      <c r="U488" s="40">
        <f>T488/0.875</f>
        <v>128979.5918367347</v>
      </c>
      <c r="V488" s="41">
        <f>(U488-T488)/U488</f>
        <v>0.12499999999999997</v>
      </c>
      <c r="W488" s="40">
        <f>(ROUNDUP((U488/100),0))*100</f>
        <v>129000</v>
      </c>
      <c r="X488" s="42">
        <f>(T488-O488)/T488</f>
        <v>0.3000000000000001</v>
      </c>
      <c r="Y488" s="45">
        <v>111650</v>
      </c>
      <c r="Z488" s="46">
        <f>T488-Y488</f>
        <v>1207.1428571428696</v>
      </c>
      <c r="AA488" s="47">
        <f>Z488/Y488</f>
        <v>1.0811848250272007E-2</v>
      </c>
      <c r="AB488" s="60"/>
    </row>
    <row r="489" spans="2:28" ht="14.4" customHeight="1">
      <c r="B489" s="4">
        <v>420</v>
      </c>
      <c r="C489" s="38" t="s">
        <v>744</v>
      </c>
      <c r="D489" s="5" t="str">
        <f>REPLACE(C489,1,3, )</f>
        <v xml:space="preserve"> 616</v>
      </c>
      <c r="E489" s="6" t="s">
        <v>744</v>
      </c>
      <c r="F489" s="7">
        <f>IF(C489=E489,0,1)</f>
        <v>0</v>
      </c>
      <c r="G489" s="8" t="s">
        <v>298</v>
      </c>
      <c r="H489" s="8" t="s">
        <v>323</v>
      </c>
      <c r="I489" s="8" t="s">
        <v>711</v>
      </c>
      <c r="J489" s="12">
        <f>M489</f>
        <v>0</v>
      </c>
      <c r="K489" s="13">
        <f>J489-M489</f>
        <v>0</v>
      </c>
      <c r="L489" s="17" t="s">
        <v>22</v>
      </c>
      <c r="M489" s="18">
        <v>0</v>
      </c>
      <c r="N489" s="15">
        <v>0</v>
      </c>
      <c r="O489" s="39">
        <f>M489+N489</f>
        <v>0</v>
      </c>
      <c r="P489" s="95"/>
      <c r="Q489" s="3"/>
      <c r="R489" s="36"/>
      <c r="S489" s="36">
        <f>R489+O489</f>
        <v>0</v>
      </c>
      <c r="T489" s="36">
        <f>S489/0.7</f>
        <v>0</v>
      </c>
      <c r="U489" s="40">
        <f>T489/0.875</f>
        <v>0</v>
      </c>
      <c r="V489" s="41" t="e">
        <f>(U489-T489)/U489</f>
        <v>#DIV/0!</v>
      </c>
      <c r="W489" s="40">
        <f>(ROUNDUP((U489/100),0))*100</f>
        <v>0</v>
      </c>
      <c r="X489" s="42" t="e">
        <f>(T489-O489)/T489</f>
        <v>#DIV/0!</v>
      </c>
      <c r="Y489" s="43"/>
      <c r="Z489" s="43"/>
      <c r="AA489" s="44"/>
      <c r="AB489" s="60"/>
    </row>
    <row r="490" spans="2:28" ht="14.4" customHeight="1">
      <c r="B490" s="4">
        <v>421</v>
      </c>
      <c r="C490" s="38" t="s">
        <v>745</v>
      </c>
      <c r="D490" s="5" t="str">
        <f>REPLACE(C490,1,3, )</f>
        <v xml:space="preserve"> 409</v>
      </c>
      <c r="E490" s="6" t="s">
        <v>745</v>
      </c>
      <c r="F490" s="7">
        <f>IF(C490=E490,0,1)</f>
        <v>0</v>
      </c>
      <c r="G490" s="8" t="s">
        <v>298</v>
      </c>
      <c r="H490" s="8" t="s">
        <v>323</v>
      </c>
      <c r="I490" s="8" t="s">
        <v>711</v>
      </c>
      <c r="J490" s="12">
        <f>M490</f>
        <v>88250</v>
      </c>
      <c r="K490" s="13">
        <f>J490-M490</f>
        <v>0</v>
      </c>
      <c r="L490" s="17" t="s">
        <v>22</v>
      </c>
      <c r="M490" s="18">
        <v>88250</v>
      </c>
      <c r="N490" s="15">
        <f>2000+200+250+600+3600</f>
        <v>6650</v>
      </c>
      <c r="O490" s="39">
        <f>M490+N490</f>
        <v>94900</v>
      </c>
      <c r="P490" s="95"/>
      <c r="Q490" s="77" t="s">
        <v>1435</v>
      </c>
      <c r="R490" s="36"/>
      <c r="S490" s="36">
        <f>R490+O490</f>
        <v>94900</v>
      </c>
      <c r="T490" s="36">
        <f>S490/0.7</f>
        <v>135571.42857142858</v>
      </c>
      <c r="U490" s="40">
        <f>T490/0.875</f>
        <v>154938.77551020408</v>
      </c>
      <c r="V490" s="41">
        <f>(U490-T490)/U490</f>
        <v>0.12499999999999996</v>
      </c>
      <c r="W490" s="40">
        <f>(ROUNDUP((U490/100),0))*100</f>
        <v>155000</v>
      </c>
      <c r="X490" s="42">
        <f>(T490-O490)/T490</f>
        <v>0.30000000000000004</v>
      </c>
      <c r="Y490" s="43"/>
      <c r="Z490" s="43"/>
      <c r="AA490" s="44"/>
      <c r="AB490" s="60"/>
    </row>
    <row r="491" spans="2:28" ht="14.4" customHeight="1">
      <c r="B491" s="4">
        <v>434</v>
      </c>
      <c r="C491" s="38" t="s">
        <v>754</v>
      </c>
      <c r="D491" s="5" t="str">
        <f>REPLACE(C491,1,3, )</f>
        <v xml:space="preserve"> 214</v>
      </c>
      <c r="E491" s="6" t="s">
        <v>754</v>
      </c>
      <c r="F491" s="7">
        <f>IF(C491=E491,0,1)</f>
        <v>0</v>
      </c>
      <c r="G491" s="8" t="s">
        <v>298</v>
      </c>
      <c r="H491" s="8" t="s">
        <v>323</v>
      </c>
      <c r="I491" s="8" t="s">
        <v>711</v>
      </c>
      <c r="J491" s="12">
        <f>M491</f>
        <v>35000</v>
      </c>
      <c r="K491" s="13">
        <f>J491-M491</f>
        <v>0</v>
      </c>
      <c r="L491" s="17" t="s">
        <v>22</v>
      </c>
      <c r="M491" s="18">
        <v>35000</v>
      </c>
      <c r="N491" s="15">
        <f>2000+600+200+250+650+2500</f>
        <v>6200</v>
      </c>
      <c r="O491" s="39">
        <f>M491+N491</f>
        <v>41200</v>
      </c>
      <c r="P491" s="95"/>
      <c r="Q491" s="77" t="s">
        <v>1392</v>
      </c>
      <c r="R491" s="36"/>
      <c r="S491" s="36">
        <f>R491+O491</f>
        <v>41200</v>
      </c>
      <c r="T491" s="36">
        <f>S491/0.7</f>
        <v>58857.142857142862</v>
      </c>
      <c r="U491" s="40">
        <f>T491/0.875</f>
        <v>67265.306122448979</v>
      </c>
      <c r="V491" s="41">
        <f>(U491-T491)/U491</f>
        <v>0.12499999999999992</v>
      </c>
      <c r="W491" s="40">
        <f>(ROUNDUP((U491/100),0))*100</f>
        <v>67300</v>
      </c>
      <c r="X491" s="42">
        <f>(T491-O491)/T491</f>
        <v>0.30000000000000004</v>
      </c>
      <c r="Y491" s="43"/>
      <c r="Z491" s="43"/>
      <c r="AA491" s="44"/>
      <c r="AB491" s="60"/>
    </row>
    <row r="492" spans="2:28" ht="14.4" customHeight="1">
      <c r="B492" s="4">
        <v>427</v>
      </c>
      <c r="C492" s="5" t="s">
        <v>283</v>
      </c>
      <c r="D492" s="5" t="str">
        <f>REPLACE(C492,1,3, )</f>
        <v xml:space="preserve"> 977</v>
      </c>
      <c r="E492" s="6" t="s">
        <v>283</v>
      </c>
      <c r="F492" s="7">
        <f>IF(C492=E492,0,1)</f>
        <v>0</v>
      </c>
      <c r="G492" s="11" t="s">
        <v>298</v>
      </c>
      <c r="H492" s="11" t="s">
        <v>325</v>
      </c>
      <c r="I492" s="11" t="s">
        <v>369</v>
      </c>
      <c r="J492" s="12">
        <f>M492</f>
        <v>39000</v>
      </c>
      <c r="K492" s="13">
        <f>J492-M492</f>
        <v>0</v>
      </c>
      <c r="L492" s="17" t="s">
        <v>22</v>
      </c>
      <c r="M492" s="18">
        <v>39000</v>
      </c>
      <c r="N492" s="15">
        <f>2000+200+250+600+650+2500</f>
        <v>6200</v>
      </c>
      <c r="O492" s="39">
        <f>M492+N492</f>
        <v>45200</v>
      </c>
      <c r="P492" s="95"/>
      <c r="Q492" s="3" t="s">
        <v>463</v>
      </c>
      <c r="R492" s="36">
        <v>2500</v>
      </c>
      <c r="S492" s="36">
        <f>R492+O492</f>
        <v>47700</v>
      </c>
      <c r="T492" s="36">
        <f>S492/0.7</f>
        <v>68142.857142857145</v>
      </c>
      <c r="U492" s="40">
        <f>T492/0.875</f>
        <v>77877.551020408166</v>
      </c>
      <c r="V492" s="41">
        <f>(U492-T492)/U492</f>
        <v>0.125</v>
      </c>
      <c r="W492" s="40">
        <f>(ROUNDUP((U492/100),0))*100</f>
        <v>77900</v>
      </c>
      <c r="X492" s="42">
        <f>(T492-O492)/T492</f>
        <v>0.33668763102725369</v>
      </c>
      <c r="Y492" s="43"/>
      <c r="Z492" s="43"/>
      <c r="AA492" s="44"/>
      <c r="AB492" s="60"/>
    </row>
    <row r="493" spans="2:28" ht="14.4" customHeight="1">
      <c r="B493" s="4">
        <v>428</v>
      </c>
      <c r="C493" s="38" t="s">
        <v>747</v>
      </c>
      <c r="D493" s="5" t="str">
        <f>REPLACE(C493,1,3, )</f>
        <v xml:space="preserve"> 751</v>
      </c>
      <c r="E493" s="6" t="s">
        <v>747</v>
      </c>
      <c r="F493" s="7">
        <f>IF(C493=E493,0,1)</f>
        <v>0</v>
      </c>
      <c r="G493" s="8" t="s">
        <v>298</v>
      </c>
      <c r="H493" s="8" t="s">
        <v>325</v>
      </c>
      <c r="I493" s="8" t="s">
        <v>748</v>
      </c>
      <c r="J493" s="12"/>
      <c r="K493" s="13">
        <f>J493-M493</f>
        <v>0</v>
      </c>
      <c r="L493" s="7"/>
      <c r="M493" s="14">
        <f>J493-N493</f>
        <v>0</v>
      </c>
      <c r="N493" s="15"/>
      <c r="O493" s="39">
        <f>M493+N493</f>
        <v>0</v>
      </c>
      <c r="P493" s="95"/>
      <c r="Q493" s="3"/>
      <c r="R493" s="36"/>
      <c r="S493" s="36">
        <f>R493+O493</f>
        <v>0</v>
      </c>
      <c r="T493" s="36">
        <f>S493/0.7</f>
        <v>0</v>
      </c>
      <c r="U493" s="40">
        <f>T493/0.875</f>
        <v>0</v>
      </c>
      <c r="V493" s="41" t="e">
        <f>(U493-T493)/U493</f>
        <v>#DIV/0!</v>
      </c>
      <c r="W493" s="40">
        <f>(ROUNDUP((U493/100),0))*100</f>
        <v>0</v>
      </c>
      <c r="X493" s="42" t="e">
        <f>(T493-O493)/T493</f>
        <v>#DIV/0!</v>
      </c>
      <c r="Y493" s="43"/>
      <c r="Z493" s="43"/>
      <c r="AA493" s="44"/>
      <c r="AB493" s="60"/>
    </row>
    <row r="494" spans="2:28" ht="14.4" customHeight="1">
      <c r="B494" s="4">
        <v>429</v>
      </c>
      <c r="C494" s="38" t="s">
        <v>749</v>
      </c>
      <c r="D494" s="5" t="str">
        <f>REPLACE(C494,1,3, )</f>
        <v xml:space="preserve"> 828</v>
      </c>
      <c r="E494" s="6" t="s">
        <v>749</v>
      </c>
      <c r="F494" s="7">
        <f>IF(C494=E494,0,1)</f>
        <v>0</v>
      </c>
      <c r="G494" s="8" t="s">
        <v>298</v>
      </c>
      <c r="H494" s="8" t="s">
        <v>325</v>
      </c>
      <c r="I494" s="8" t="s">
        <v>711</v>
      </c>
      <c r="J494" s="12">
        <f>M494</f>
        <v>48000</v>
      </c>
      <c r="K494" s="13">
        <f>J494-M494</f>
        <v>0</v>
      </c>
      <c r="L494" s="17" t="s">
        <v>22</v>
      </c>
      <c r="M494" s="18">
        <v>48000</v>
      </c>
      <c r="N494" s="15">
        <f>2000+200+250+600+3000</f>
        <v>6050</v>
      </c>
      <c r="O494" s="39">
        <f>M494+N494</f>
        <v>54050</v>
      </c>
      <c r="P494" s="95"/>
      <c r="Q494" s="77" t="s">
        <v>1433</v>
      </c>
      <c r="R494" s="36"/>
      <c r="S494" s="36">
        <f>R494+O494</f>
        <v>54050</v>
      </c>
      <c r="T494" s="36">
        <f>S494/0.7</f>
        <v>77214.285714285725</v>
      </c>
      <c r="U494" s="40">
        <f>T494/0.875</f>
        <v>88244.897959183683</v>
      </c>
      <c r="V494" s="41">
        <f>(U494-T494)/U494</f>
        <v>0.12499999999999999</v>
      </c>
      <c r="W494" s="40">
        <f>(ROUNDUP((U494/100),0))*100</f>
        <v>88300</v>
      </c>
      <c r="X494" s="42">
        <f>(T494-O494)/T494</f>
        <v>0.3000000000000001</v>
      </c>
      <c r="Y494" s="43"/>
      <c r="Z494" s="43"/>
      <c r="AA494" s="44"/>
      <c r="AB494" s="60"/>
    </row>
    <row r="495" spans="2:28" ht="14.4" customHeight="1">
      <c r="B495" s="4">
        <v>430</v>
      </c>
      <c r="C495" s="38" t="s">
        <v>750</v>
      </c>
      <c r="D495" s="5" t="str">
        <f>REPLACE(C495,1,3, )</f>
        <v xml:space="preserve"> 845</v>
      </c>
      <c r="E495" s="6" t="s">
        <v>750</v>
      </c>
      <c r="F495" s="7">
        <f>IF(C495=E495,0,1)</f>
        <v>0</v>
      </c>
      <c r="G495" s="8" t="s">
        <v>20</v>
      </c>
      <c r="H495" s="8" t="s">
        <v>325</v>
      </c>
      <c r="I495" s="8" t="s">
        <v>711</v>
      </c>
      <c r="J495" s="12">
        <f>M495</f>
        <v>48200</v>
      </c>
      <c r="K495" s="13">
        <f>J495-M495</f>
        <v>0</v>
      </c>
      <c r="L495" s="17" t="s">
        <v>22</v>
      </c>
      <c r="M495" s="18">
        <v>48200</v>
      </c>
      <c r="N495" s="15">
        <f>2000+600+200+800+250+2400+3000</f>
        <v>9250</v>
      </c>
      <c r="O495" s="39">
        <f>M495+N495</f>
        <v>57450</v>
      </c>
      <c r="P495" s="95"/>
      <c r="Q495" s="77" t="s">
        <v>1390</v>
      </c>
      <c r="R495" s="36"/>
      <c r="S495" s="36">
        <f>R495+O495</f>
        <v>57450</v>
      </c>
      <c r="T495" s="36">
        <f>S495/0.7</f>
        <v>82071.42857142858</v>
      </c>
      <c r="U495" s="40">
        <f>T495/0.875</f>
        <v>93795.918367346952</v>
      </c>
      <c r="V495" s="41">
        <f>(U495-T495)/U495</f>
        <v>0.12500000000000003</v>
      </c>
      <c r="W495" s="40">
        <f>(ROUNDUP((U495/100),0))*100</f>
        <v>93800</v>
      </c>
      <c r="X495" s="42">
        <f>(T495-O495)/T495</f>
        <v>0.30000000000000004</v>
      </c>
      <c r="Y495" s="45">
        <v>80500</v>
      </c>
      <c r="Z495" s="46">
        <f>T495-Y495</f>
        <v>1571.4285714285797</v>
      </c>
      <c r="AA495" s="47">
        <f>Z495/Y495</f>
        <v>1.9520851818988567E-2</v>
      </c>
      <c r="AB495" s="60"/>
    </row>
    <row r="496" spans="2:28" ht="14.4" customHeight="1">
      <c r="B496" s="4">
        <v>431</v>
      </c>
      <c r="C496" s="38" t="s">
        <v>751</v>
      </c>
      <c r="D496" s="5" t="str">
        <f>REPLACE(C496,1,3, )</f>
        <v xml:space="preserve"> 301</v>
      </c>
      <c r="E496" s="6" t="s">
        <v>751</v>
      </c>
      <c r="F496" s="7">
        <f>IF(C496=E496,0,1)</f>
        <v>0</v>
      </c>
      <c r="G496" s="8" t="s">
        <v>298</v>
      </c>
      <c r="H496" s="8" t="s">
        <v>325</v>
      </c>
      <c r="I496" s="8" t="s">
        <v>738</v>
      </c>
      <c r="J496" s="12">
        <v>68000</v>
      </c>
      <c r="K496" s="13">
        <f>J496-M496</f>
        <v>6450</v>
      </c>
      <c r="L496" s="7" t="s">
        <v>23</v>
      </c>
      <c r="M496" s="14">
        <f>J496-N496</f>
        <v>61550</v>
      </c>
      <c r="N496" s="15">
        <f>2000+200+600+650+3000</f>
        <v>6450</v>
      </c>
      <c r="O496" s="39">
        <f>M496+N496</f>
        <v>68000</v>
      </c>
      <c r="P496" s="95"/>
      <c r="Q496" s="77" t="s">
        <v>1538</v>
      </c>
      <c r="R496" s="36"/>
      <c r="S496" s="36">
        <f>R496+O496</f>
        <v>68000</v>
      </c>
      <c r="T496" s="36">
        <f>S496/0.7</f>
        <v>97142.857142857145</v>
      </c>
      <c r="U496" s="40">
        <f>T496/0.875</f>
        <v>111020.40816326531</v>
      </c>
      <c r="V496" s="41">
        <f>(U496-T496)/U496</f>
        <v>0.12500000000000003</v>
      </c>
      <c r="W496" s="40">
        <f>(ROUNDUP((U496/100),0))*100</f>
        <v>111100</v>
      </c>
      <c r="X496" s="42">
        <f>(T496-O496)/T496</f>
        <v>0.3</v>
      </c>
      <c r="Y496" s="43"/>
      <c r="Z496" s="43"/>
      <c r="AA496" s="44"/>
      <c r="AB496" s="60"/>
    </row>
    <row r="497" spans="2:76" ht="14.4" customHeight="1">
      <c r="B497" s="4">
        <v>432</v>
      </c>
      <c r="C497" s="38" t="s">
        <v>752</v>
      </c>
      <c r="D497" s="5" t="str">
        <f>REPLACE(C497,1,3, )</f>
        <v xml:space="preserve"> 981</v>
      </c>
      <c r="E497" s="6" t="s">
        <v>752</v>
      </c>
      <c r="F497" s="7">
        <f>IF(C497=E497,0,1)</f>
        <v>0</v>
      </c>
      <c r="G497" s="8" t="s">
        <v>20</v>
      </c>
      <c r="H497" s="8" t="s">
        <v>325</v>
      </c>
      <c r="I497" s="8" t="s">
        <v>711</v>
      </c>
      <c r="J497" s="12">
        <f>M497</f>
        <v>55200</v>
      </c>
      <c r="K497" s="13">
        <f>J497-M497</f>
        <v>0</v>
      </c>
      <c r="L497" s="17" t="s">
        <v>22</v>
      </c>
      <c r="M497" s="18">
        <v>55200</v>
      </c>
      <c r="N497" s="15">
        <f>2000+600+200+250+400+3000</f>
        <v>6450</v>
      </c>
      <c r="O497" s="39">
        <f>M497+N497</f>
        <v>61650</v>
      </c>
      <c r="P497" s="95"/>
      <c r="Q497" s="77" t="s">
        <v>1389</v>
      </c>
      <c r="R497" s="36"/>
      <c r="S497" s="36">
        <f>R497+O497</f>
        <v>61650</v>
      </c>
      <c r="T497" s="36">
        <f>S497/0.7</f>
        <v>88071.42857142858</v>
      </c>
      <c r="U497" s="40">
        <f>T497/0.875</f>
        <v>100653.06122448981</v>
      </c>
      <c r="V497" s="41">
        <f>(U497-T497)/U497</f>
        <v>0.12500000000000003</v>
      </c>
      <c r="W497" s="40">
        <f>(ROUNDUP((U497/100),0))*100</f>
        <v>100700</v>
      </c>
      <c r="X497" s="42">
        <f>(T497-O497)/T497</f>
        <v>0.30000000000000004</v>
      </c>
      <c r="Y497" s="45">
        <v>86450</v>
      </c>
      <c r="Z497" s="46">
        <f>T497-Y497</f>
        <v>1621.4285714285797</v>
      </c>
      <c r="AA497" s="47">
        <f>Z497/Y497</f>
        <v>1.8755680409815845E-2</v>
      </c>
      <c r="AB497" s="60"/>
    </row>
    <row r="498" spans="2:76" ht="14.4" customHeight="1">
      <c r="B498" s="4">
        <v>433</v>
      </c>
      <c r="C498" s="38" t="s">
        <v>753</v>
      </c>
      <c r="D498" s="5" t="str">
        <f>REPLACE(C498,1,3, )</f>
        <v xml:space="preserve"> 631</v>
      </c>
      <c r="E498" s="6" t="s">
        <v>753</v>
      </c>
      <c r="F498" s="7">
        <f>IF(C498=E498,0,1)</f>
        <v>0</v>
      </c>
      <c r="G498" s="8" t="s">
        <v>298</v>
      </c>
      <c r="H498" s="8" t="s">
        <v>325</v>
      </c>
      <c r="I498" s="8" t="s">
        <v>713</v>
      </c>
      <c r="J498" s="12">
        <f>M498</f>
        <v>65000</v>
      </c>
      <c r="K498" s="183">
        <f>J498-M498</f>
        <v>0</v>
      </c>
      <c r="L498" s="17" t="s">
        <v>22</v>
      </c>
      <c r="M498" s="18">
        <v>65000</v>
      </c>
      <c r="N498" s="15">
        <f>2000+200+600+800+3000</f>
        <v>6600</v>
      </c>
      <c r="O498" s="39">
        <f>M498+N498</f>
        <v>71600</v>
      </c>
      <c r="P498" s="95"/>
      <c r="Q498" s="77" t="s">
        <v>1554</v>
      </c>
      <c r="R498" s="36"/>
      <c r="S498" s="36">
        <f>R498+O498</f>
        <v>71600</v>
      </c>
      <c r="T498" s="36">
        <f>S498/0.7</f>
        <v>102285.71428571429</v>
      </c>
      <c r="U498" s="40">
        <f>T498/0.875</f>
        <v>116897.95918367348</v>
      </c>
      <c r="V498" s="41">
        <f>(U498-T498)/U498</f>
        <v>0.12500000000000003</v>
      </c>
      <c r="W498" s="40">
        <f>(ROUNDUP((U498/100),0))*100</f>
        <v>116900</v>
      </c>
      <c r="X498" s="42">
        <f>(T498-O498)/T498</f>
        <v>0.30000000000000004</v>
      </c>
      <c r="Y498" s="43"/>
      <c r="Z498" s="43"/>
      <c r="AA498" s="44"/>
      <c r="AB498" s="60"/>
    </row>
    <row r="499" spans="2:76" ht="14.4" customHeight="1">
      <c r="B499" s="4">
        <v>435</v>
      </c>
      <c r="C499" s="38" t="s">
        <v>755</v>
      </c>
      <c r="D499" s="5" t="str">
        <f>REPLACE(C499,1,3, )</f>
        <v xml:space="preserve"> 520</v>
      </c>
      <c r="E499" s="6" t="s">
        <v>755</v>
      </c>
      <c r="F499" s="7">
        <f>IF(C499=E499,0,1)</f>
        <v>0</v>
      </c>
      <c r="G499" s="8" t="s">
        <v>20</v>
      </c>
      <c r="H499" s="8" t="s">
        <v>325</v>
      </c>
      <c r="I499" s="8" t="s">
        <v>725</v>
      </c>
      <c r="J499" s="87">
        <v>45000</v>
      </c>
      <c r="K499" s="87">
        <f>J499-M499</f>
        <v>0</v>
      </c>
      <c r="L499" s="103" t="s">
        <v>1428</v>
      </c>
      <c r="M499" s="86">
        <f>J499</f>
        <v>45000</v>
      </c>
      <c r="N499" s="87">
        <f>2000+2850+800+200+250+400</f>
        <v>6500</v>
      </c>
      <c r="O499" s="101">
        <f>N499+M499</f>
        <v>51500</v>
      </c>
      <c r="P499" s="95"/>
      <c r="Q499" s="88" t="s">
        <v>1411</v>
      </c>
      <c r="R499" s="36"/>
      <c r="S499" s="36">
        <f>R499+O499</f>
        <v>51500</v>
      </c>
      <c r="T499" s="36">
        <f>S499/0.7</f>
        <v>73571.42857142858</v>
      </c>
      <c r="U499" s="40">
        <f>T499/0.875</f>
        <v>84081.632653061228</v>
      </c>
      <c r="V499" s="41">
        <f>(U499-T499)/U499</f>
        <v>0.12499999999999993</v>
      </c>
      <c r="W499" s="40">
        <f>(ROUNDUP((U499/100),0))*100</f>
        <v>84100</v>
      </c>
      <c r="X499" s="42">
        <f>(T499-O499)/T499</f>
        <v>0.3000000000000001</v>
      </c>
      <c r="Y499" s="45">
        <v>77875</v>
      </c>
      <c r="Z499" s="46">
        <f>T499-Y499</f>
        <v>-4303.5714285714203</v>
      </c>
      <c r="AA499" s="47">
        <f>Z499/Y499</f>
        <v>-5.5262554459986138E-2</v>
      </c>
      <c r="AB499" s="60"/>
    </row>
    <row r="500" spans="2:76" ht="14.4" customHeight="1">
      <c r="B500" s="4">
        <v>422</v>
      </c>
      <c r="C500" s="5" t="s">
        <v>198</v>
      </c>
      <c r="D500" s="5" t="str">
        <f>REPLACE(C500,1,3, )</f>
        <v xml:space="preserve"> 996</v>
      </c>
      <c r="E500" s="6" t="s">
        <v>198</v>
      </c>
      <c r="F500" s="7">
        <f>IF(C500=E500,0,1)</f>
        <v>0</v>
      </c>
      <c r="G500" s="11" t="s">
        <v>298</v>
      </c>
      <c r="H500" s="11" t="s">
        <v>316</v>
      </c>
      <c r="I500" s="11" t="s">
        <v>348</v>
      </c>
      <c r="J500" s="12">
        <v>105500</v>
      </c>
      <c r="K500" s="13">
        <f>J500-M500</f>
        <v>4050</v>
      </c>
      <c r="L500" s="7" t="s">
        <v>23</v>
      </c>
      <c r="M500" s="14">
        <f>J500-N500</f>
        <v>101450</v>
      </c>
      <c r="N500" s="15">
        <f>2000+200+250+1000+600</f>
        <v>4050</v>
      </c>
      <c r="O500" s="39">
        <f>M500+N500</f>
        <v>105500</v>
      </c>
      <c r="P500" s="95"/>
      <c r="Q500" s="3" t="s">
        <v>411</v>
      </c>
      <c r="R500" s="36"/>
      <c r="S500" s="36">
        <f>R500+O500</f>
        <v>105500</v>
      </c>
      <c r="T500" s="36">
        <f>S500/0.7</f>
        <v>150714.28571428571</v>
      </c>
      <c r="U500" s="40">
        <f>T500/0.875</f>
        <v>172244.89795918367</v>
      </c>
      <c r="V500" s="41">
        <f>(U500-T500)/U500</f>
        <v>0.125</v>
      </c>
      <c r="W500" s="40">
        <f>(ROUNDUP((U500/100),0))*100</f>
        <v>172300</v>
      </c>
      <c r="X500" s="42">
        <f>(T500-O500)/T500</f>
        <v>0.3</v>
      </c>
      <c r="Y500" s="43"/>
      <c r="Z500" s="43"/>
      <c r="AA500" s="44"/>
      <c r="AB500" s="60"/>
    </row>
    <row r="501" spans="2:76" ht="14.4" customHeight="1">
      <c r="B501" s="4">
        <v>423</v>
      </c>
      <c r="C501" s="5" t="s">
        <v>197</v>
      </c>
      <c r="D501" s="5" t="str">
        <f>REPLACE(C501,1,3, )</f>
        <v xml:space="preserve"> 916</v>
      </c>
      <c r="E501" s="6" t="s">
        <v>197</v>
      </c>
      <c r="F501" s="7">
        <f>IF(C501=E501,0,1)</f>
        <v>0</v>
      </c>
      <c r="G501" s="11" t="s">
        <v>298</v>
      </c>
      <c r="H501" s="11" t="s">
        <v>316</v>
      </c>
      <c r="I501" s="11" t="s">
        <v>348</v>
      </c>
      <c r="J501" s="12">
        <v>103000</v>
      </c>
      <c r="K501" s="13">
        <f>J501-M501</f>
        <v>4050</v>
      </c>
      <c r="L501" s="7" t="s">
        <v>23</v>
      </c>
      <c r="M501" s="14">
        <f>J501-N501</f>
        <v>98950</v>
      </c>
      <c r="N501" s="15">
        <f>2000+200+250+1000+600</f>
        <v>4050</v>
      </c>
      <c r="O501" s="39">
        <f>M501+N501</f>
        <v>103000</v>
      </c>
      <c r="P501" s="95"/>
      <c r="Q501" s="3" t="s">
        <v>410</v>
      </c>
      <c r="R501" s="36"/>
      <c r="S501" s="36">
        <f>R501+O501</f>
        <v>103000</v>
      </c>
      <c r="T501" s="36">
        <f>S501/0.7</f>
        <v>147142.85714285716</v>
      </c>
      <c r="U501" s="40">
        <f>T501/0.875</f>
        <v>168163.26530612246</v>
      </c>
      <c r="V501" s="41">
        <f>(U501-T501)/U501</f>
        <v>0.12499999999999993</v>
      </c>
      <c r="W501" s="40">
        <f>(ROUNDUP((U501/100),0))*100</f>
        <v>168200</v>
      </c>
      <c r="X501" s="42">
        <f>(T501-O501)/T501</f>
        <v>0.3000000000000001</v>
      </c>
      <c r="Y501" s="43"/>
      <c r="Z501" s="43"/>
      <c r="AA501" s="43"/>
      <c r="AB501" s="59"/>
    </row>
    <row r="502" spans="2:76" ht="14.4" customHeight="1">
      <c r="B502" s="4">
        <v>424</v>
      </c>
      <c r="C502" s="5" t="s">
        <v>65</v>
      </c>
      <c r="D502" s="5" t="str">
        <f>REPLACE(C502,1,3, )</f>
        <v xml:space="preserve"> 014</v>
      </c>
      <c r="E502" s="6" t="s">
        <v>65</v>
      </c>
      <c r="F502" s="7">
        <f>IF(C502=E502,0,1)</f>
        <v>0</v>
      </c>
      <c r="G502" s="11" t="s">
        <v>20</v>
      </c>
      <c r="H502" s="11" t="s">
        <v>316</v>
      </c>
      <c r="I502" s="11" t="s">
        <v>367</v>
      </c>
      <c r="J502" s="12">
        <f>M502</f>
        <v>96000</v>
      </c>
      <c r="K502" s="13">
        <f>J502-M502</f>
        <v>0</v>
      </c>
      <c r="L502" s="17" t="s">
        <v>22</v>
      </c>
      <c r="M502" s="18">
        <v>96000</v>
      </c>
      <c r="N502" s="15">
        <v>3050</v>
      </c>
      <c r="O502" s="39">
        <f>M502+N502</f>
        <v>99050</v>
      </c>
      <c r="P502" s="95"/>
      <c r="Q502" s="3" t="s">
        <v>462</v>
      </c>
      <c r="R502" s="36"/>
      <c r="S502" s="36">
        <f>R502+O502</f>
        <v>99050</v>
      </c>
      <c r="T502" s="36">
        <f>S502/0.7</f>
        <v>141500</v>
      </c>
      <c r="U502" s="40">
        <f>T502/0.875</f>
        <v>161714.28571428571</v>
      </c>
      <c r="V502" s="41">
        <f>(U502-T502)/U502</f>
        <v>0.12499999999999997</v>
      </c>
      <c r="W502" s="40">
        <f>(ROUNDUP((U502/100),0))*100</f>
        <v>161800</v>
      </c>
      <c r="X502" s="42">
        <f>(T502-O502)/T502</f>
        <v>0.3</v>
      </c>
      <c r="Y502" s="45">
        <v>141838</v>
      </c>
      <c r="Z502" s="46">
        <f>T502-Y502</f>
        <v>-338</v>
      </c>
      <c r="AA502" s="47">
        <f>Z502/Y502</f>
        <v>-2.3830003243136538E-3</v>
      </c>
      <c r="AB502" s="60"/>
    </row>
    <row r="503" spans="2:76" ht="14.4" customHeight="1">
      <c r="B503" s="4">
        <v>425</v>
      </c>
      <c r="C503" s="38" t="s">
        <v>746</v>
      </c>
      <c r="D503" s="5" t="str">
        <f>REPLACE(C503,1,3, )</f>
        <v xml:space="preserve"> 851</v>
      </c>
      <c r="E503" s="6" t="s">
        <v>746</v>
      </c>
      <c r="F503" s="7">
        <f>IF(C503=E503,0,1)</f>
        <v>0</v>
      </c>
      <c r="G503" s="8" t="s">
        <v>20</v>
      </c>
      <c r="H503" s="8" t="s">
        <v>316</v>
      </c>
      <c r="I503" s="8" t="s">
        <v>711</v>
      </c>
      <c r="J503" s="12">
        <f>M503</f>
        <v>74750</v>
      </c>
      <c r="K503" s="13">
        <f>J503-M503</f>
        <v>0</v>
      </c>
      <c r="L503" s="17" t="s">
        <v>22</v>
      </c>
      <c r="M503" s="18">
        <v>74750</v>
      </c>
      <c r="N503" s="15">
        <f>2000+600+200+250+700+3600</f>
        <v>7350</v>
      </c>
      <c r="O503" s="39">
        <f>M503+N503</f>
        <v>82100</v>
      </c>
      <c r="P503" s="95"/>
      <c r="Q503" s="77" t="s">
        <v>1382</v>
      </c>
      <c r="R503" s="36"/>
      <c r="S503" s="36">
        <f>R503+O503</f>
        <v>82100</v>
      </c>
      <c r="T503" s="36">
        <f>S503/0.7</f>
        <v>117285.71428571429</v>
      </c>
      <c r="U503" s="40">
        <f>T503/0.875</f>
        <v>134040.81632653062</v>
      </c>
      <c r="V503" s="41">
        <f>(U503-T503)/U503</f>
        <v>0.12500000000000003</v>
      </c>
      <c r="W503" s="40">
        <f>(ROUNDUP((U503/100),0))*100</f>
        <v>134100</v>
      </c>
      <c r="X503" s="42">
        <f>(T503-O503)/T503</f>
        <v>0.30000000000000004</v>
      </c>
      <c r="Y503" s="45">
        <v>108588</v>
      </c>
      <c r="Z503" s="46">
        <f>T503-Y503</f>
        <v>8697.7142857142899</v>
      </c>
      <c r="AA503" s="47">
        <f>Z503/Y503</f>
        <v>8.0098300785669596E-2</v>
      </c>
      <c r="AB503" s="60"/>
    </row>
    <row r="504" spans="2:76" ht="14.4" customHeight="1">
      <c r="B504" s="4">
        <v>426</v>
      </c>
      <c r="C504" s="5" t="s">
        <v>226</v>
      </c>
      <c r="D504" s="5" t="str">
        <f>REPLACE(C504,1,3, )</f>
        <v xml:space="preserve"> 208</v>
      </c>
      <c r="E504" s="6" t="s">
        <v>226</v>
      </c>
      <c r="F504" s="7">
        <f>IF(C504=E504,0,1)</f>
        <v>0</v>
      </c>
      <c r="G504" s="11" t="s">
        <v>298</v>
      </c>
      <c r="H504" s="11" t="s">
        <v>316</v>
      </c>
      <c r="I504" s="11" t="s">
        <v>355</v>
      </c>
      <c r="J504" s="12">
        <v>65000</v>
      </c>
      <c r="K504" s="13">
        <f>J504-M504</f>
        <v>6650</v>
      </c>
      <c r="L504" s="7" t="s">
        <v>23</v>
      </c>
      <c r="M504" s="14">
        <f>J504-N504</f>
        <v>58350</v>
      </c>
      <c r="N504" s="15">
        <f>2000+200+250+600+3600</f>
        <v>6650</v>
      </c>
      <c r="O504" s="39">
        <f>M504+N504</f>
        <v>65000</v>
      </c>
      <c r="P504" s="96"/>
      <c r="Q504" s="3" t="s">
        <v>397</v>
      </c>
      <c r="R504" s="36"/>
      <c r="S504" s="36">
        <f>R504+O504</f>
        <v>65000</v>
      </c>
      <c r="T504" s="36">
        <f>S504/0.7</f>
        <v>92857.14285714287</v>
      </c>
      <c r="U504" s="40">
        <f>T504/0.875</f>
        <v>106122.44897959185</v>
      </c>
      <c r="V504" s="41">
        <f>(U504-T504)/U504</f>
        <v>0.12499999999999999</v>
      </c>
      <c r="W504" s="40">
        <f>(ROUNDUP((U504/100),0))*100</f>
        <v>106200</v>
      </c>
      <c r="X504" s="42">
        <f>(T504-O504)/T504</f>
        <v>0.3000000000000001</v>
      </c>
      <c r="Y504" s="43"/>
      <c r="Z504" s="43"/>
      <c r="AA504" s="44"/>
      <c r="AB504" s="60"/>
    </row>
    <row r="505" spans="2:76" ht="14.4" customHeight="1">
      <c r="B505" s="4">
        <v>502</v>
      </c>
      <c r="C505" s="5" t="s">
        <v>109</v>
      </c>
      <c r="D505" s="5" t="str">
        <f>REPLACE(C505,1,3, )</f>
        <v xml:space="preserve"> 119</v>
      </c>
      <c r="E505" s="6" t="s">
        <v>109</v>
      </c>
      <c r="F505" s="7">
        <f>IF(C505=E505,0,1)</f>
        <v>0</v>
      </c>
      <c r="G505" s="11" t="s">
        <v>20</v>
      </c>
      <c r="H505" s="11" t="s">
        <v>324</v>
      </c>
      <c r="I505" s="11" t="s">
        <v>368</v>
      </c>
      <c r="J505" s="12">
        <f>M505</f>
        <v>37500</v>
      </c>
      <c r="K505" s="13">
        <f>J505-M505</f>
        <v>0</v>
      </c>
      <c r="L505" s="17" t="s">
        <v>22</v>
      </c>
      <c r="M505" s="18">
        <v>37500</v>
      </c>
      <c r="N505" s="15">
        <f>2000+200+600</f>
        <v>2800</v>
      </c>
      <c r="O505" s="39">
        <f>M505+N505</f>
        <v>40300</v>
      </c>
      <c r="P505" s="95"/>
      <c r="Q505" s="3" t="s">
        <v>390</v>
      </c>
      <c r="R505" s="36"/>
      <c r="S505" s="36">
        <f>R505+O505</f>
        <v>40300</v>
      </c>
      <c r="T505" s="36">
        <f>S505/0.7</f>
        <v>57571.428571428572</v>
      </c>
      <c r="U505" s="40">
        <f>T505/0.875</f>
        <v>65795.918367346938</v>
      </c>
      <c r="V505" s="41">
        <f>(U505-T505)/U505</f>
        <v>0.12499999999999997</v>
      </c>
      <c r="W505" s="40">
        <f>(ROUNDUP((U505/100),0))*100</f>
        <v>65800</v>
      </c>
      <c r="X505" s="42">
        <f>(T505-O505)/T505</f>
        <v>0.3</v>
      </c>
      <c r="Y505" s="45">
        <v>56000</v>
      </c>
      <c r="Z505" s="46">
        <f>T505-Y505</f>
        <v>1571.4285714285725</v>
      </c>
      <c r="AA505" s="47">
        <f>Z505/Y505</f>
        <v>2.8061224489795936E-2</v>
      </c>
      <c r="AB505" s="60"/>
    </row>
    <row r="506" spans="2:76" ht="14.4" customHeight="1">
      <c r="B506" s="4">
        <v>503</v>
      </c>
      <c r="C506" s="5" t="s">
        <v>110</v>
      </c>
      <c r="D506" s="5" t="str">
        <f>REPLACE(C506,1,3, )</f>
        <v xml:space="preserve"> 311</v>
      </c>
      <c r="E506" s="6" t="s">
        <v>110</v>
      </c>
      <c r="F506" s="7">
        <f>IF(C506=E506,0,1)</f>
        <v>0</v>
      </c>
      <c r="G506" s="11" t="s">
        <v>20</v>
      </c>
      <c r="H506" s="11" t="s">
        <v>324</v>
      </c>
      <c r="I506" s="11" t="s">
        <v>368</v>
      </c>
      <c r="J506" s="12">
        <f>M506</f>
        <v>42500</v>
      </c>
      <c r="K506" s="13">
        <f>J506-M506</f>
        <v>0</v>
      </c>
      <c r="L506" s="17" t="s">
        <v>22</v>
      </c>
      <c r="M506" s="18">
        <v>42500</v>
      </c>
      <c r="N506" s="15">
        <f>2000+200+600</f>
        <v>2800</v>
      </c>
      <c r="O506" s="39">
        <f>M506+N506</f>
        <v>45300</v>
      </c>
      <c r="P506" s="95"/>
      <c r="Q506" s="3" t="s">
        <v>390</v>
      </c>
      <c r="R506" s="36"/>
      <c r="S506" s="36">
        <f>R506+O506</f>
        <v>45300</v>
      </c>
      <c r="T506" s="36">
        <f>S506/0.7</f>
        <v>64714.285714285717</v>
      </c>
      <c r="U506" s="40">
        <f>T506/0.875</f>
        <v>73959.183673469393</v>
      </c>
      <c r="V506" s="41">
        <f>(U506-T506)/U506</f>
        <v>0.12500000000000003</v>
      </c>
      <c r="W506" s="40">
        <f>(ROUNDUP((U506/100),0))*100</f>
        <v>74000</v>
      </c>
      <c r="X506" s="42">
        <f>(T506-O506)/T506</f>
        <v>0.30000000000000004</v>
      </c>
      <c r="Y506" s="45">
        <v>59588</v>
      </c>
      <c r="Z506" s="46">
        <f>T506-Y506</f>
        <v>5126.2857142857174</v>
      </c>
      <c r="AA506" s="47">
        <f>Z506/Y506</f>
        <v>8.6028826513487908E-2</v>
      </c>
      <c r="AB506" s="60"/>
    </row>
    <row r="507" spans="2:76" ht="14.4" customHeight="1">
      <c r="B507" s="4">
        <v>504</v>
      </c>
      <c r="C507" s="5" t="s">
        <v>74</v>
      </c>
      <c r="D507" s="5" t="str">
        <f>REPLACE(C507,1,3, )</f>
        <v xml:space="preserve"> 215</v>
      </c>
      <c r="E507" s="6" t="s">
        <v>74</v>
      </c>
      <c r="F507" s="7">
        <f>IF(C507=E507,0,1)</f>
        <v>0</v>
      </c>
      <c r="G507" s="11" t="s">
        <v>20</v>
      </c>
      <c r="H507" s="11" t="s">
        <v>324</v>
      </c>
      <c r="I507" s="11" t="s">
        <v>368</v>
      </c>
      <c r="J507" s="12">
        <f>M507</f>
        <v>39000</v>
      </c>
      <c r="K507" s="13">
        <f>J507-M507</f>
        <v>0</v>
      </c>
      <c r="L507" s="17" t="s">
        <v>22</v>
      </c>
      <c r="M507" s="18">
        <v>39000</v>
      </c>
      <c r="N507" s="15">
        <f>2000+200+600</f>
        <v>2800</v>
      </c>
      <c r="O507" s="39">
        <f>M507+N507</f>
        <v>41800</v>
      </c>
      <c r="P507" s="95"/>
      <c r="Q507" s="3" t="s">
        <v>390</v>
      </c>
      <c r="R507" s="36"/>
      <c r="S507" s="36">
        <f>R507+O507</f>
        <v>41800</v>
      </c>
      <c r="T507" s="36">
        <f>S507/0.7</f>
        <v>59714.285714285717</v>
      </c>
      <c r="U507" s="40">
        <f>T507/0.875</f>
        <v>68244.897959183683</v>
      </c>
      <c r="V507" s="41">
        <f>(U507-T507)/U507</f>
        <v>0.12500000000000008</v>
      </c>
      <c r="W507" s="40">
        <f>(ROUNDUP((U507/100),0))*100</f>
        <v>68300</v>
      </c>
      <c r="X507" s="42">
        <f>(T507-O507)/T507</f>
        <v>0.30000000000000004</v>
      </c>
      <c r="Y507" s="45">
        <v>56000</v>
      </c>
      <c r="Z507" s="46">
        <f>T507-Y507</f>
        <v>3714.2857142857174</v>
      </c>
      <c r="AA507" s="47">
        <f>Z507/Y507</f>
        <v>6.6326530612244958E-2</v>
      </c>
      <c r="AB507" s="60"/>
    </row>
    <row r="508" spans="2:76" ht="14.4" customHeight="1">
      <c r="B508" s="4">
        <v>505</v>
      </c>
      <c r="C508" s="5" t="s">
        <v>75</v>
      </c>
      <c r="D508" s="5" t="str">
        <f>REPLACE(C508,1,3, )</f>
        <v xml:space="preserve"> 243</v>
      </c>
      <c r="E508" s="6" t="s">
        <v>75</v>
      </c>
      <c r="F508" s="7">
        <f>IF(C508=E508,0,1)</f>
        <v>0</v>
      </c>
      <c r="G508" s="11" t="s">
        <v>20</v>
      </c>
      <c r="H508" s="11" t="s">
        <v>324</v>
      </c>
      <c r="I508" s="11" t="s">
        <v>368</v>
      </c>
      <c r="J508" s="12">
        <f>M508</f>
        <v>37500</v>
      </c>
      <c r="K508" s="13">
        <f>J508-M508</f>
        <v>0</v>
      </c>
      <c r="L508" s="17" t="s">
        <v>22</v>
      </c>
      <c r="M508" s="18">
        <v>37500</v>
      </c>
      <c r="N508" s="15">
        <f>2000+200+600</f>
        <v>2800</v>
      </c>
      <c r="O508" s="39">
        <f>M508+N508</f>
        <v>40300</v>
      </c>
      <c r="P508" s="95"/>
      <c r="Q508" s="3" t="s">
        <v>390</v>
      </c>
      <c r="R508" s="36"/>
      <c r="S508" s="36">
        <f>R508+O508</f>
        <v>40300</v>
      </c>
      <c r="T508" s="36">
        <f>S508/0.7</f>
        <v>57571.428571428572</v>
      </c>
      <c r="U508" s="40">
        <f>T508/0.875</f>
        <v>65795.918367346938</v>
      </c>
      <c r="V508" s="41">
        <f>(U508-T508)/U508</f>
        <v>0.12499999999999997</v>
      </c>
      <c r="W508" s="40">
        <f>(ROUNDUP((U508/100),0))*100</f>
        <v>65800</v>
      </c>
      <c r="X508" s="42">
        <f>(T508-O508)/T508</f>
        <v>0.3</v>
      </c>
      <c r="Y508" s="45">
        <v>56000</v>
      </c>
      <c r="Z508" s="46">
        <f>T508-Y508</f>
        <v>1571.4285714285725</v>
      </c>
      <c r="AA508" s="47">
        <f>Z508/Y508</f>
        <v>2.8061224489795936E-2</v>
      </c>
      <c r="AB508" s="60"/>
    </row>
    <row r="509" spans="2:76" ht="14.4" customHeight="1">
      <c r="B509" s="4">
        <v>506</v>
      </c>
      <c r="C509" s="6" t="s">
        <v>1376</v>
      </c>
      <c r="D509" s="5" t="str">
        <f>REPLACE(C509,1,3, )</f>
        <v xml:space="preserve"> 262</v>
      </c>
      <c r="E509" s="6" t="s">
        <v>1376</v>
      </c>
      <c r="F509" s="7">
        <f>IF(C509=E509,0,1)</f>
        <v>0</v>
      </c>
      <c r="G509" s="11" t="s">
        <v>20</v>
      </c>
      <c r="H509" s="11" t="s">
        <v>324</v>
      </c>
      <c r="I509" s="11" t="s">
        <v>368</v>
      </c>
      <c r="J509" s="12">
        <f>M509</f>
        <v>42500</v>
      </c>
      <c r="K509" s="13">
        <f>J509-M509</f>
        <v>0</v>
      </c>
      <c r="L509" s="17" t="s">
        <v>22</v>
      </c>
      <c r="M509" s="18">
        <v>42500</v>
      </c>
      <c r="N509" s="15">
        <f>2000+200+600</f>
        <v>2800</v>
      </c>
      <c r="O509" s="39">
        <f>M509+N509</f>
        <v>45300</v>
      </c>
      <c r="P509" s="95"/>
      <c r="Q509" s="3" t="s">
        <v>390</v>
      </c>
      <c r="R509" s="36"/>
      <c r="S509" s="36">
        <f>R509+O509</f>
        <v>45300</v>
      </c>
      <c r="T509" s="36">
        <f>S509/0.7</f>
        <v>64714.285714285717</v>
      </c>
      <c r="U509" s="40">
        <f>T509/0.875</f>
        <v>73959.183673469393</v>
      </c>
      <c r="V509" s="41">
        <f>(U509-T509)/U509</f>
        <v>0.12500000000000003</v>
      </c>
      <c r="W509" s="40">
        <f>(ROUNDUP((U509/100),0))*100</f>
        <v>74000</v>
      </c>
      <c r="X509" s="42">
        <f>(T509-O509)/T509</f>
        <v>0.30000000000000004</v>
      </c>
      <c r="Y509" s="45">
        <v>59588</v>
      </c>
      <c r="Z509" s="46">
        <f>T509-Y509</f>
        <v>5126.2857142857174</v>
      </c>
      <c r="AA509" s="47">
        <f>Z509/Y509</f>
        <v>8.6028826513487908E-2</v>
      </c>
      <c r="AB509" s="60"/>
    </row>
    <row r="510" spans="2:76" ht="14.4" customHeight="1">
      <c r="B510" s="4">
        <v>507</v>
      </c>
      <c r="C510" s="5" t="s">
        <v>111</v>
      </c>
      <c r="D510" s="5" t="str">
        <f>REPLACE(C510,1,3, )</f>
        <v xml:space="preserve"> 491</v>
      </c>
      <c r="E510" s="6" t="s">
        <v>111</v>
      </c>
      <c r="F510" s="7">
        <f>IF(C510=E510,0,1)</f>
        <v>0</v>
      </c>
      <c r="G510" s="11" t="s">
        <v>20</v>
      </c>
      <c r="H510" s="11" t="s">
        <v>324</v>
      </c>
      <c r="I510" s="11" t="s">
        <v>368</v>
      </c>
      <c r="J510" s="12">
        <f>M510</f>
        <v>39000</v>
      </c>
      <c r="K510" s="13">
        <f>J510-M510</f>
        <v>0</v>
      </c>
      <c r="L510" s="17" t="s">
        <v>22</v>
      </c>
      <c r="M510" s="18">
        <v>39000</v>
      </c>
      <c r="N510" s="15">
        <f>2000+200+600</f>
        <v>2800</v>
      </c>
      <c r="O510" s="39">
        <f>M510+N510</f>
        <v>41800</v>
      </c>
      <c r="P510" s="95"/>
      <c r="Q510" s="3" t="s">
        <v>390</v>
      </c>
      <c r="R510" s="36"/>
      <c r="S510" s="36">
        <f>R510+O510</f>
        <v>41800</v>
      </c>
      <c r="T510" s="36">
        <f>S510/0.7</f>
        <v>59714.285714285717</v>
      </c>
      <c r="U510" s="40">
        <f>T510/0.875</f>
        <v>68244.897959183683</v>
      </c>
      <c r="V510" s="41">
        <f>(U510-T510)/U510</f>
        <v>0.12500000000000008</v>
      </c>
      <c r="W510" s="40">
        <f>(ROUNDUP((U510/100),0))*100</f>
        <v>68300</v>
      </c>
      <c r="X510" s="42">
        <f>(T510-O510)/T510</f>
        <v>0.30000000000000004</v>
      </c>
      <c r="Y510" s="45">
        <v>56000</v>
      </c>
      <c r="Z510" s="46">
        <f>T510-Y510</f>
        <v>3714.2857142857174</v>
      </c>
      <c r="AA510" s="47">
        <f>Z510/Y510</f>
        <v>6.6326530612244958E-2</v>
      </c>
      <c r="AB510" s="60"/>
    </row>
    <row r="511" spans="2:76" ht="14.4" customHeight="1">
      <c r="AB511" s="124"/>
      <c r="AC511" s="122"/>
      <c r="AD511" s="80"/>
      <c r="AE511" s="80"/>
      <c r="AF511" s="111"/>
      <c r="AG511" s="112"/>
      <c r="AH511" s="113"/>
      <c r="AI511" s="114"/>
      <c r="AJ511" s="114"/>
      <c r="AK511" s="115"/>
      <c r="AL511" s="116"/>
      <c r="AM511" s="117"/>
      <c r="AN511" s="117"/>
      <c r="AO511" s="118"/>
      <c r="AP511" s="113"/>
      <c r="AQ511" s="114"/>
      <c r="AR511" s="118"/>
      <c r="AS511" s="115"/>
      <c r="AT511" s="116"/>
      <c r="AU511" s="117"/>
      <c r="AV511" s="117"/>
      <c r="AW511" s="119"/>
      <c r="AX511" s="120"/>
      <c r="AY511" s="120"/>
      <c r="AZ511" s="118"/>
      <c r="BA511" s="113"/>
      <c r="BB511" s="114"/>
      <c r="BC511" s="114"/>
      <c r="BD511" s="115"/>
      <c r="BE511" s="116"/>
      <c r="BF511" s="117"/>
      <c r="BG511" s="117"/>
      <c r="BH511" s="118"/>
      <c r="BI511" s="113"/>
      <c r="BJ511" s="114"/>
      <c r="BK511" s="114"/>
      <c r="BL511" s="115"/>
      <c r="BM511" s="116"/>
      <c r="BN511" s="117"/>
      <c r="BO511" s="117"/>
      <c r="BP511" s="118"/>
      <c r="BQ511" s="113"/>
      <c r="BR511" s="114"/>
      <c r="BS511" s="114"/>
      <c r="BT511" s="115"/>
      <c r="BU511" s="116"/>
      <c r="BV511" s="117"/>
      <c r="BW511" s="117"/>
      <c r="BX511" s="121"/>
    </row>
    <row r="512" spans="2:76" ht="14.4" customHeight="1">
      <c r="B512" s="21"/>
      <c r="C512" s="50"/>
      <c r="D512" s="22"/>
      <c r="E512" s="21"/>
      <c r="F512" s="21"/>
      <c r="G512" s="23"/>
      <c r="H512" s="23"/>
      <c r="I512" s="23"/>
      <c r="J512" s="51"/>
      <c r="K512" s="52"/>
      <c r="L512" s="21"/>
      <c r="M512" s="53"/>
      <c r="N512" s="53"/>
      <c r="O512" s="54"/>
      <c r="P512" s="98"/>
      <c r="Q512" s="23"/>
      <c r="R512" s="55"/>
      <c r="S512" s="55"/>
      <c r="T512" s="55"/>
      <c r="U512" s="56"/>
      <c r="V512" s="57"/>
      <c r="W512" s="56"/>
      <c r="X512" s="58"/>
      <c r="Y512" s="59"/>
      <c r="Z512" s="59"/>
      <c r="AA512" s="60"/>
      <c r="AB512" s="60"/>
      <c r="BH512" s="31"/>
      <c r="BI512" s="170"/>
      <c r="BJ512" s="171"/>
      <c r="BK512" s="171"/>
      <c r="BL512" s="31"/>
    </row>
    <row r="513" spans="1:83" ht="14.4" customHeight="1">
      <c r="B513" s="21"/>
      <c r="C513" s="50"/>
      <c r="D513" s="22"/>
      <c r="E513" s="21"/>
      <c r="F513" s="21"/>
      <c r="G513" s="23"/>
      <c r="H513" s="23"/>
      <c r="I513" s="23"/>
      <c r="J513" s="51"/>
      <c r="K513" s="52"/>
      <c r="L513" s="21"/>
      <c r="M513" s="53"/>
      <c r="N513" s="53"/>
      <c r="O513" s="54"/>
      <c r="P513" s="98"/>
      <c r="Q513" s="23"/>
      <c r="R513" s="55"/>
      <c r="S513" s="55"/>
      <c r="T513" s="55"/>
      <c r="U513" s="56"/>
      <c r="V513" s="57"/>
      <c r="W513" s="56"/>
      <c r="X513" s="58"/>
      <c r="Y513" s="59"/>
      <c r="Z513" s="59"/>
      <c r="AA513" s="60"/>
      <c r="AB513" s="60"/>
    </row>
    <row r="514" spans="1:83" ht="14.4" customHeight="1">
      <c r="A514" s="61"/>
      <c r="B514" s="1" t="s">
        <v>79</v>
      </c>
      <c r="C514" s="2"/>
      <c r="D514" s="2"/>
      <c r="E514" s="62"/>
      <c r="F514" s="63"/>
      <c r="G514" s="62"/>
      <c r="H514" s="2"/>
      <c r="I514" s="62"/>
      <c r="J514" s="64"/>
      <c r="K514" s="63"/>
      <c r="L514" s="63"/>
      <c r="M514" s="65"/>
      <c r="N514" s="63"/>
      <c r="O514" s="63"/>
      <c r="P514" s="99"/>
      <c r="Q514" s="66"/>
      <c r="R514" s="67"/>
      <c r="S514" s="62"/>
      <c r="T514" s="62"/>
      <c r="U514" s="62"/>
      <c r="V514" s="62"/>
      <c r="W514" s="62"/>
      <c r="X514" s="68"/>
      <c r="Y514" s="62"/>
      <c r="Z514" s="62"/>
      <c r="AA514" s="62"/>
      <c r="AB514" s="61"/>
    </row>
    <row r="515" spans="1:83" ht="14.4" customHeight="1">
      <c r="A515" s="61"/>
      <c r="B515" s="1" t="s">
        <v>77</v>
      </c>
      <c r="C515" s="69"/>
      <c r="D515" s="62"/>
      <c r="E515" s="62"/>
      <c r="F515" s="63"/>
      <c r="G515" s="62"/>
      <c r="H515" s="2"/>
      <c r="I515" s="62"/>
      <c r="J515" s="64"/>
      <c r="K515" s="63"/>
      <c r="L515" s="63"/>
      <c r="M515" s="65"/>
      <c r="N515" s="63"/>
      <c r="O515" s="63"/>
      <c r="P515" s="99"/>
      <c r="Q515" s="63"/>
      <c r="R515" s="67"/>
      <c r="S515" s="62"/>
      <c r="T515" s="62"/>
      <c r="U515" s="62"/>
      <c r="V515" s="62"/>
      <c r="W515" s="62"/>
      <c r="X515" s="68"/>
      <c r="Y515" s="62"/>
      <c r="Z515" s="62"/>
      <c r="AA515" s="62"/>
      <c r="AB515" s="61"/>
    </row>
    <row r="516" spans="1:83" ht="14.4" customHeight="1">
      <c r="A516" s="61"/>
      <c r="B516" s="1" t="s">
        <v>78</v>
      </c>
      <c r="C516" s="2"/>
      <c r="D516" s="62"/>
      <c r="E516" s="62"/>
      <c r="F516" s="63"/>
      <c r="G516" s="62"/>
      <c r="H516" s="2"/>
      <c r="I516" s="62"/>
      <c r="J516" s="64"/>
      <c r="K516" s="63"/>
      <c r="L516" s="63"/>
      <c r="M516" s="65"/>
      <c r="N516" s="63"/>
      <c r="O516" s="63"/>
      <c r="P516" s="99"/>
      <c r="Q516" s="63"/>
      <c r="R516" s="67"/>
      <c r="S516" s="62"/>
      <c r="T516" s="62"/>
      <c r="U516" s="62"/>
      <c r="V516" s="62"/>
      <c r="W516" s="62"/>
      <c r="X516" s="68"/>
      <c r="Y516" s="62"/>
      <c r="Z516" s="62"/>
      <c r="AA516" s="62"/>
      <c r="AB516" s="61"/>
    </row>
    <row r="517" spans="1:83" s="62" customFormat="1" ht="14.4" customHeight="1">
      <c r="A517" s="61"/>
      <c r="B517" s="1" t="s">
        <v>76</v>
      </c>
      <c r="C517" s="69"/>
      <c r="D517" s="2"/>
      <c r="F517" s="63"/>
      <c r="H517" s="2"/>
      <c r="J517" s="64"/>
      <c r="K517" s="63"/>
      <c r="L517" s="63"/>
      <c r="M517" s="65"/>
      <c r="N517" s="63"/>
      <c r="O517" s="63"/>
      <c r="P517" s="99"/>
      <c r="Q517" s="63"/>
      <c r="R517" s="67"/>
      <c r="X517" s="68"/>
      <c r="AB517" s="61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  <c r="AX517" s="63"/>
      <c r="AY517" s="63"/>
      <c r="AZ517" s="63"/>
      <c r="BA517" s="63"/>
      <c r="BB517" s="63"/>
      <c r="BC517" s="63"/>
      <c r="BD517" s="63"/>
      <c r="BE517" s="63"/>
      <c r="BF517" s="63"/>
      <c r="BG517" s="63"/>
      <c r="BH517" s="63"/>
      <c r="BI517" s="63"/>
      <c r="BJ517" s="63"/>
      <c r="BK517" s="63"/>
      <c r="BL517" s="63"/>
      <c r="BM517" s="63"/>
      <c r="BN517" s="63"/>
      <c r="BO517" s="63"/>
      <c r="BP517" s="63"/>
      <c r="BQ517" s="63"/>
      <c r="BR517" s="63"/>
      <c r="BS517" s="63"/>
      <c r="BT517" s="63"/>
      <c r="BU517" s="63"/>
      <c r="BV517" s="63"/>
      <c r="BW517" s="63"/>
      <c r="BX517" s="63"/>
      <c r="BY517" s="61"/>
      <c r="BZ517" s="61"/>
      <c r="CA517" s="61"/>
      <c r="CB517" s="61"/>
      <c r="CC517" s="61"/>
      <c r="CD517" s="61"/>
      <c r="CE517" s="61"/>
    </row>
    <row r="518" spans="1:83" s="62" customFormat="1" ht="14.4" customHeight="1">
      <c r="A518" s="24"/>
      <c r="B518" s="107"/>
      <c r="C518" s="26"/>
      <c r="D518" s="26"/>
      <c r="E518" s="26"/>
      <c r="F518" s="25"/>
      <c r="G518" s="26"/>
      <c r="H518" s="26"/>
      <c r="I518" s="26"/>
      <c r="J518" s="27"/>
      <c r="K518" s="26"/>
      <c r="L518" s="81"/>
      <c r="M518" s="26"/>
      <c r="N518" s="26"/>
      <c r="O518" s="26"/>
      <c r="P518" s="92"/>
      <c r="Q518" s="81"/>
      <c r="R518" s="28"/>
      <c r="S518" s="26"/>
      <c r="T518" s="26"/>
      <c r="U518" s="26"/>
      <c r="V518" s="26"/>
      <c r="W518" s="26"/>
      <c r="X518" s="70"/>
      <c r="Y518" s="26"/>
      <c r="Z518" s="26"/>
      <c r="AA518" s="26"/>
      <c r="AB518" s="24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  <c r="AX518" s="63"/>
      <c r="AY518" s="63"/>
      <c r="AZ518" s="63"/>
      <c r="BA518" s="63"/>
      <c r="BB518" s="63"/>
      <c r="BC518" s="63"/>
      <c r="BD518" s="63"/>
      <c r="BE518" s="63"/>
      <c r="BF518" s="63"/>
      <c r="BG518" s="63"/>
      <c r="BH518" s="63"/>
      <c r="BI518" s="63"/>
      <c r="BJ518" s="63"/>
      <c r="BK518" s="63"/>
      <c r="BL518" s="63"/>
      <c r="BM518" s="63"/>
      <c r="BN518" s="63"/>
      <c r="BO518" s="63"/>
      <c r="BP518" s="63"/>
      <c r="BQ518" s="63"/>
      <c r="BR518" s="63"/>
      <c r="BS518" s="63"/>
      <c r="BT518" s="63"/>
      <c r="BU518" s="63"/>
      <c r="BV518" s="63"/>
      <c r="BW518" s="63"/>
      <c r="BX518" s="63"/>
      <c r="BY518" s="61"/>
      <c r="BZ518" s="61"/>
      <c r="CA518" s="61"/>
      <c r="CB518" s="61"/>
      <c r="CC518" s="61"/>
      <c r="CD518" s="61"/>
      <c r="CE518" s="61"/>
    </row>
    <row r="519" spans="1:83" s="62" customFormat="1" ht="14.4" customHeight="1">
      <c r="A519" s="24"/>
      <c r="B519" s="107"/>
      <c r="C519" s="26"/>
      <c r="D519" s="26"/>
      <c r="E519" s="26"/>
      <c r="F519" s="25"/>
      <c r="G519" s="26"/>
      <c r="H519" s="26"/>
      <c r="I519" s="26"/>
      <c r="J519" s="71">
        <f>SUM(J36:J518)</f>
        <v>28520150</v>
      </c>
      <c r="K519" s="72">
        <f>SUM(K36:K518)</f>
        <v>1369900</v>
      </c>
      <c r="L519" s="81"/>
      <c r="M519" s="72">
        <f>SUM(M36:M518)</f>
        <v>27150250</v>
      </c>
      <c r="N519" s="72">
        <f>SUM(N36:N518)</f>
        <v>2236150</v>
      </c>
      <c r="O519" s="72">
        <f>SUM(O36:O518)</f>
        <v>29386400</v>
      </c>
      <c r="P519" s="100"/>
      <c r="Q519" s="81"/>
      <c r="R519" s="28"/>
      <c r="S519" s="26"/>
      <c r="T519" s="26"/>
      <c r="U519" s="26"/>
      <c r="V519" s="26"/>
      <c r="W519" s="26"/>
      <c r="X519" s="70"/>
      <c r="Y519" s="26"/>
      <c r="Z519" s="26"/>
      <c r="AA519" s="26"/>
      <c r="AB519" s="24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  <c r="AX519" s="63"/>
      <c r="AY519" s="63"/>
      <c r="AZ519" s="63"/>
      <c r="BA519" s="63"/>
      <c r="BB519" s="63"/>
      <c r="BC519" s="63"/>
      <c r="BD519" s="63"/>
      <c r="BE519" s="63"/>
      <c r="BF519" s="63"/>
      <c r="BG519" s="63"/>
      <c r="BH519" s="63"/>
      <c r="BI519" s="63"/>
      <c r="BJ519" s="63"/>
      <c r="BK519" s="63"/>
      <c r="BL519" s="63"/>
      <c r="BM519" s="63"/>
      <c r="BN519" s="63"/>
      <c r="BO519" s="63"/>
      <c r="BP519" s="63"/>
      <c r="BQ519" s="63"/>
      <c r="BR519" s="63"/>
      <c r="BS519" s="63"/>
      <c r="BT519" s="63"/>
      <c r="BU519" s="63"/>
      <c r="BV519" s="63"/>
      <c r="BW519" s="63"/>
      <c r="BX519" s="63"/>
      <c r="BY519" s="61"/>
      <c r="BZ519" s="61"/>
      <c r="CA519" s="61"/>
      <c r="CB519" s="61"/>
      <c r="CC519" s="61"/>
      <c r="CD519" s="61"/>
      <c r="CE519" s="61"/>
    </row>
    <row r="522" spans="1:83">
      <c r="H522" s="73" t="s">
        <v>113</v>
      </c>
      <c r="P522" s="100"/>
    </row>
    <row r="523" spans="1:83">
      <c r="H523" s="73" t="s">
        <v>114</v>
      </c>
    </row>
    <row r="524" spans="1:83">
      <c r="H524" s="73" t="s">
        <v>115</v>
      </c>
    </row>
    <row r="525" spans="1:83">
      <c r="H525" s="73" t="s">
        <v>116</v>
      </c>
    </row>
    <row r="527" spans="1:83">
      <c r="H527" s="26" t="s">
        <v>117</v>
      </c>
    </row>
    <row r="528" spans="1:83">
      <c r="H528" s="26" t="s">
        <v>118</v>
      </c>
    </row>
    <row r="529" spans="8:8">
      <c r="H529" s="26" t="s">
        <v>119</v>
      </c>
    </row>
    <row r="531" spans="8:8">
      <c r="H531" s="26" t="s">
        <v>120</v>
      </c>
    </row>
  </sheetData>
  <autoFilter ref="A3:BX511">
    <filterColumn colId="7"/>
    <filterColumn colId="8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7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5" showButton="0"/>
    <filterColumn colId="46" showButton="0"/>
    <filterColumn colId="48" showButton="0"/>
    <filterColumn colId="49" showButton="0"/>
    <filterColumn colId="52" showButton="0"/>
    <filterColumn colId="53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3" showButton="0"/>
    <filterColumn colId="64" showButton="0"/>
    <filterColumn colId="65" showButton="0"/>
    <filterColumn colId="67" showButton="0"/>
    <filterColumn colId="68" showButton="0"/>
    <filterColumn colId="69" showButton="0"/>
    <filterColumn colId="71" showButton="0"/>
    <filterColumn colId="72" showButton="0"/>
    <filterColumn colId="73" showButton="0"/>
    <sortState ref="A4:BX511">
      <sortCondition ref="H3:H511"/>
    </sortState>
  </autoFilter>
  <mergeCells count="11">
    <mergeCell ref="AG2:AJ2"/>
    <mergeCell ref="AK2:AN2"/>
    <mergeCell ref="AO2:AR2"/>
    <mergeCell ref="AT2:AV2"/>
    <mergeCell ref="AW2:AY2"/>
    <mergeCell ref="BT2:BW2"/>
    <mergeCell ref="BA2:BC2"/>
    <mergeCell ref="BD2:BG2"/>
    <mergeCell ref="BH2:BK2"/>
    <mergeCell ref="BL2:BO2"/>
    <mergeCell ref="BP2:BS2"/>
  </mergeCells>
  <conditionalFormatting sqref="AA189:AB190 AA192:AB197 AA5:AB5 AA11:AB11 AA14:AB14 AA16:AB16 AA21:AB23 AA3 AA25:AA26 AB444:AB514 AA199:AA510 AA512:AA514 AA28:AA187 AB28:AB30 AB32:AB39 AB42:AB44 AB46:AB51 AB53:AB55 AB57:AB63 AB187 AB211:AB217 AB65:AB87 AB89:AB95 AB97:AB100 AB102:AB110 AB112:AB113 AB115:AB122 AB124:AB126 AB128:AB132 AB134:AB142 AB144:AB148 AB150:AB152 AB154:AB181 AB183:AB185 AB199:AB209 AB219:AB243 AB245 AB247:AB285 AB287:AB312 AB314:AB442">
    <cfRule type="cellIs" dxfId="7" priority="29" operator="greaterThan">
      <formula>0.7</formula>
    </cfRule>
    <cfRule type="cellIs" dxfId="6" priority="30" operator="greaterThan">
      <formula>7</formula>
    </cfRule>
  </conditionalFormatting>
  <conditionalFormatting sqref="D5:D510 D512:D514 D3">
    <cfRule type="duplicateValues" dxfId="5" priority="352"/>
    <cfRule type="duplicateValues" dxfId="4" priority="353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791</v>
      </c>
      <c r="B3" t="s">
        <v>483</v>
      </c>
      <c r="C3" t="s">
        <v>483</v>
      </c>
      <c r="D3" t="s">
        <v>484</v>
      </c>
      <c r="E3">
        <v>55.65</v>
      </c>
      <c r="F3">
        <v>0</v>
      </c>
      <c r="G3" t="s">
        <v>792</v>
      </c>
    </row>
    <row r="4" spans="1:8">
      <c r="A4">
        <v>2</v>
      </c>
      <c r="B4" t="s">
        <v>793</v>
      </c>
      <c r="C4" t="s">
        <v>485</v>
      </c>
      <c r="D4" t="s">
        <v>486</v>
      </c>
      <c r="E4" t="s">
        <v>487</v>
      </c>
      <c r="F4">
        <v>150</v>
      </c>
      <c r="G4">
        <v>0</v>
      </c>
      <c r="H4" t="s">
        <v>794</v>
      </c>
    </row>
    <row r="5" spans="1:8">
      <c r="A5">
        <v>3</v>
      </c>
      <c r="B5" t="s">
        <v>795</v>
      </c>
      <c r="C5" t="s">
        <v>488</v>
      </c>
      <c r="D5" t="s">
        <v>326</v>
      </c>
      <c r="E5" t="s">
        <v>489</v>
      </c>
      <c r="F5">
        <v>75</v>
      </c>
      <c r="G5">
        <v>0</v>
      </c>
      <c r="H5" t="s">
        <v>794</v>
      </c>
    </row>
    <row r="6" spans="1:8">
      <c r="A6">
        <v>4</v>
      </c>
      <c r="B6" t="s">
        <v>796</v>
      </c>
      <c r="C6" t="s">
        <v>490</v>
      </c>
      <c r="D6" t="s">
        <v>486</v>
      </c>
      <c r="E6" t="s">
        <v>491</v>
      </c>
      <c r="F6">
        <v>0</v>
      </c>
      <c r="G6">
        <v>0</v>
      </c>
      <c r="H6" t="s">
        <v>794</v>
      </c>
    </row>
    <row r="7" spans="1:8">
      <c r="A7">
        <v>5</v>
      </c>
      <c r="B7" t="s">
        <v>797</v>
      </c>
      <c r="C7" t="s">
        <v>497</v>
      </c>
      <c r="D7" t="s">
        <v>486</v>
      </c>
      <c r="E7" t="s">
        <v>493</v>
      </c>
      <c r="F7">
        <v>70</v>
      </c>
      <c r="G7">
        <v>0</v>
      </c>
      <c r="H7" t="s">
        <v>794</v>
      </c>
    </row>
    <row r="8" spans="1:8">
      <c r="A8">
        <v>6</v>
      </c>
      <c r="B8" t="s">
        <v>798</v>
      </c>
      <c r="C8" t="s">
        <v>492</v>
      </c>
      <c r="D8" t="s">
        <v>486</v>
      </c>
      <c r="E8" t="s">
        <v>493</v>
      </c>
      <c r="F8">
        <v>65</v>
      </c>
      <c r="G8">
        <v>0</v>
      </c>
      <c r="H8" t="s">
        <v>794</v>
      </c>
    </row>
    <row r="9" spans="1:8">
      <c r="A9">
        <v>7</v>
      </c>
      <c r="B9" t="s">
        <v>799</v>
      </c>
      <c r="C9" t="s">
        <v>494</v>
      </c>
      <c r="D9" t="s">
        <v>326</v>
      </c>
      <c r="E9" t="s">
        <v>495</v>
      </c>
      <c r="F9">
        <v>58</v>
      </c>
      <c r="G9">
        <v>0</v>
      </c>
      <c r="H9" t="s">
        <v>792</v>
      </c>
    </row>
    <row r="10" spans="1:8">
      <c r="A10">
        <v>8</v>
      </c>
      <c r="B10" t="s">
        <v>800</v>
      </c>
      <c r="C10" t="s">
        <v>496</v>
      </c>
      <c r="D10" t="s">
        <v>486</v>
      </c>
      <c r="E10" t="s">
        <v>487</v>
      </c>
      <c r="F10">
        <v>150</v>
      </c>
      <c r="G10">
        <v>0</v>
      </c>
      <c r="H10" t="s">
        <v>794</v>
      </c>
    </row>
    <row r="11" spans="1:8">
      <c r="A11">
        <v>9</v>
      </c>
      <c r="B11" t="s">
        <v>801</v>
      </c>
      <c r="C11" t="s">
        <v>175</v>
      </c>
      <c r="D11" t="s">
        <v>311</v>
      </c>
      <c r="E11" t="s">
        <v>341</v>
      </c>
      <c r="F11">
        <v>75</v>
      </c>
      <c r="G11">
        <v>65</v>
      </c>
      <c r="H11" t="s">
        <v>794</v>
      </c>
    </row>
    <row r="12" spans="1:8">
      <c r="A12">
        <v>10</v>
      </c>
      <c r="B12" t="s">
        <v>802</v>
      </c>
      <c r="C12" t="s">
        <v>498</v>
      </c>
      <c r="D12" t="s">
        <v>486</v>
      </c>
      <c r="E12" t="s">
        <v>499</v>
      </c>
      <c r="F12">
        <v>71.150000000000006</v>
      </c>
      <c r="G12">
        <v>0</v>
      </c>
      <c r="H12" t="s">
        <v>792</v>
      </c>
    </row>
    <row r="13" spans="1:8">
      <c r="A13">
        <v>11</v>
      </c>
      <c r="B13" t="s">
        <v>803</v>
      </c>
      <c r="C13" t="s">
        <v>500</v>
      </c>
      <c r="D13" t="s">
        <v>486</v>
      </c>
      <c r="E13" t="s">
        <v>487</v>
      </c>
      <c r="F13">
        <v>150</v>
      </c>
      <c r="G13">
        <v>0</v>
      </c>
      <c r="H13" t="s">
        <v>794</v>
      </c>
    </row>
    <row r="14" spans="1:8">
      <c r="A14">
        <v>12</v>
      </c>
      <c r="B14" t="s">
        <v>804</v>
      </c>
      <c r="C14" t="s">
        <v>501</v>
      </c>
      <c r="D14" t="s">
        <v>486</v>
      </c>
      <c r="E14" t="s">
        <v>491</v>
      </c>
      <c r="F14">
        <v>75</v>
      </c>
      <c r="G14">
        <v>0</v>
      </c>
      <c r="H14" t="s">
        <v>792</v>
      </c>
    </row>
    <row r="15" spans="1:8">
      <c r="A15">
        <v>13</v>
      </c>
      <c r="B15" t="s">
        <v>805</v>
      </c>
      <c r="C15" t="s">
        <v>502</v>
      </c>
      <c r="D15" t="s">
        <v>486</v>
      </c>
      <c r="E15" t="s">
        <v>487</v>
      </c>
      <c r="F15">
        <v>150</v>
      </c>
      <c r="G15">
        <v>0</v>
      </c>
      <c r="H15" t="s">
        <v>794</v>
      </c>
    </row>
    <row r="16" spans="1:8">
      <c r="A16">
        <v>14</v>
      </c>
      <c r="B16" t="s">
        <v>806</v>
      </c>
      <c r="C16" t="s">
        <v>503</v>
      </c>
      <c r="D16" t="s">
        <v>486</v>
      </c>
      <c r="E16" t="s">
        <v>493</v>
      </c>
      <c r="F16">
        <v>75</v>
      </c>
      <c r="G16">
        <v>0</v>
      </c>
      <c r="H16" t="s">
        <v>794</v>
      </c>
    </row>
    <row r="17" spans="1:8">
      <c r="A17">
        <v>15</v>
      </c>
      <c r="B17" t="s">
        <v>807</v>
      </c>
      <c r="C17" t="s">
        <v>504</v>
      </c>
      <c r="D17" t="s">
        <v>486</v>
      </c>
      <c r="E17" t="s">
        <v>487</v>
      </c>
      <c r="F17">
        <v>150</v>
      </c>
      <c r="G17">
        <v>0</v>
      </c>
      <c r="H17" t="s">
        <v>794</v>
      </c>
    </row>
    <row r="18" spans="1:8">
      <c r="A18">
        <v>16</v>
      </c>
      <c r="B18" t="s">
        <v>808</v>
      </c>
      <c r="C18" t="s">
        <v>505</v>
      </c>
      <c r="D18" t="s">
        <v>311</v>
      </c>
      <c r="E18" t="s">
        <v>487</v>
      </c>
      <c r="F18">
        <v>150</v>
      </c>
      <c r="G18">
        <v>0</v>
      </c>
      <c r="H18" t="s">
        <v>794</v>
      </c>
    </row>
    <row r="19" spans="1:8">
      <c r="A19">
        <v>17</v>
      </c>
      <c r="B19" t="s">
        <v>809</v>
      </c>
      <c r="C19" t="s">
        <v>506</v>
      </c>
      <c r="D19" t="s">
        <v>486</v>
      </c>
      <c r="E19" t="s">
        <v>491</v>
      </c>
      <c r="F19">
        <v>65</v>
      </c>
      <c r="G19">
        <v>0</v>
      </c>
      <c r="H19" t="s">
        <v>792</v>
      </c>
    </row>
    <row r="20" spans="1:8">
      <c r="A20">
        <v>18</v>
      </c>
      <c r="B20" t="s">
        <v>810</v>
      </c>
      <c r="C20" t="s">
        <v>507</v>
      </c>
      <c r="D20" t="s">
        <v>311</v>
      </c>
      <c r="E20" t="s">
        <v>491</v>
      </c>
      <c r="F20">
        <v>65</v>
      </c>
      <c r="G20">
        <v>0</v>
      </c>
      <c r="H20" t="s">
        <v>792</v>
      </c>
    </row>
    <row r="21" spans="1:8">
      <c r="A21">
        <v>19</v>
      </c>
      <c r="B21" t="s">
        <v>811</v>
      </c>
      <c r="C21" t="s">
        <v>508</v>
      </c>
      <c r="D21" t="s">
        <v>486</v>
      </c>
      <c r="E21" t="s">
        <v>491</v>
      </c>
      <c r="F21">
        <v>75</v>
      </c>
      <c r="G21">
        <v>0</v>
      </c>
      <c r="H21" t="s">
        <v>792</v>
      </c>
    </row>
    <row r="22" spans="1:8">
      <c r="A22">
        <v>20</v>
      </c>
      <c r="B22" t="s">
        <v>812</v>
      </c>
      <c r="C22" t="s">
        <v>509</v>
      </c>
      <c r="D22" t="s">
        <v>486</v>
      </c>
      <c r="E22" t="s">
        <v>510</v>
      </c>
      <c r="F22">
        <v>0</v>
      </c>
      <c r="G22">
        <v>0</v>
      </c>
      <c r="H22" t="s">
        <v>794</v>
      </c>
    </row>
    <row r="23" spans="1:8">
      <c r="A23">
        <v>21</v>
      </c>
      <c r="B23" t="s">
        <v>813</v>
      </c>
      <c r="C23" t="s">
        <v>511</v>
      </c>
      <c r="D23" t="s">
        <v>311</v>
      </c>
      <c r="E23" t="s">
        <v>512</v>
      </c>
      <c r="F23">
        <v>67.650000000000006</v>
      </c>
      <c r="G23">
        <v>0</v>
      </c>
      <c r="H23" t="s">
        <v>792</v>
      </c>
    </row>
    <row r="24" spans="1:8">
      <c r="A24">
        <v>22</v>
      </c>
      <c r="B24" t="s">
        <v>814</v>
      </c>
      <c r="C24" t="s">
        <v>513</v>
      </c>
      <c r="D24" t="s">
        <v>486</v>
      </c>
      <c r="E24" t="s">
        <v>491</v>
      </c>
      <c r="F24">
        <v>75</v>
      </c>
      <c r="G24">
        <v>0</v>
      </c>
      <c r="H24" t="s">
        <v>792</v>
      </c>
    </row>
    <row r="25" spans="1:8">
      <c r="A25">
        <v>23</v>
      </c>
      <c r="B25" t="s">
        <v>815</v>
      </c>
      <c r="C25" t="s">
        <v>514</v>
      </c>
      <c r="D25" t="s">
        <v>486</v>
      </c>
      <c r="E25" t="s">
        <v>515</v>
      </c>
      <c r="F25">
        <v>85</v>
      </c>
      <c r="G25">
        <v>0</v>
      </c>
      <c r="H25" t="s">
        <v>794</v>
      </c>
    </row>
    <row r="26" spans="1:8">
      <c r="A26">
        <v>24</v>
      </c>
      <c r="B26" t="s">
        <v>816</v>
      </c>
      <c r="C26" t="s">
        <v>190</v>
      </c>
      <c r="D26" t="s">
        <v>486</v>
      </c>
      <c r="E26" t="s">
        <v>345</v>
      </c>
      <c r="F26">
        <v>80</v>
      </c>
      <c r="G26">
        <v>72.5</v>
      </c>
      <c r="H26" t="s">
        <v>794</v>
      </c>
    </row>
    <row r="27" spans="1:8">
      <c r="A27">
        <v>25</v>
      </c>
      <c r="B27" t="s">
        <v>817</v>
      </c>
      <c r="C27" t="s">
        <v>516</v>
      </c>
      <c r="D27" t="s">
        <v>486</v>
      </c>
      <c r="E27" t="s">
        <v>487</v>
      </c>
      <c r="F27">
        <v>150</v>
      </c>
      <c r="G27">
        <v>0</v>
      </c>
      <c r="H27" t="s">
        <v>794</v>
      </c>
    </row>
    <row r="28" spans="1:8">
      <c r="A28">
        <v>26</v>
      </c>
      <c r="B28" t="s">
        <v>818</v>
      </c>
      <c r="C28" t="s">
        <v>191</v>
      </c>
      <c r="D28" t="s">
        <v>486</v>
      </c>
      <c r="E28" t="s">
        <v>345</v>
      </c>
      <c r="F28">
        <v>80</v>
      </c>
      <c r="G28">
        <v>72</v>
      </c>
      <c r="H28" t="s">
        <v>794</v>
      </c>
    </row>
    <row r="29" spans="1:8">
      <c r="A29">
        <v>27</v>
      </c>
      <c r="B29" t="s">
        <v>819</v>
      </c>
      <c r="C29" t="s">
        <v>517</v>
      </c>
      <c r="D29" t="s">
        <v>486</v>
      </c>
      <c r="E29" t="s">
        <v>491</v>
      </c>
      <c r="F29">
        <v>75</v>
      </c>
      <c r="G29">
        <v>0</v>
      </c>
      <c r="H29" t="s">
        <v>792</v>
      </c>
    </row>
    <row r="30" spans="1:8">
      <c r="A30">
        <v>28</v>
      </c>
      <c r="B30" t="s">
        <v>820</v>
      </c>
      <c r="C30" t="s">
        <v>518</v>
      </c>
      <c r="D30" t="s">
        <v>486</v>
      </c>
      <c r="E30" t="s">
        <v>491</v>
      </c>
      <c r="F30">
        <v>0</v>
      </c>
      <c r="G30">
        <v>0</v>
      </c>
      <c r="H30" t="s">
        <v>794</v>
      </c>
    </row>
    <row r="31" spans="1:8">
      <c r="A31">
        <v>29</v>
      </c>
      <c r="B31" t="s">
        <v>821</v>
      </c>
      <c r="C31" t="s">
        <v>519</v>
      </c>
      <c r="D31" t="s">
        <v>311</v>
      </c>
      <c r="E31" t="s">
        <v>487</v>
      </c>
      <c r="F31">
        <v>150</v>
      </c>
      <c r="G31">
        <v>0</v>
      </c>
      <c r="H31" t="s">
        <v>794</v>
      </c>
    </row>
    <row r="32" spans="1:8">
      <c r="A32">
        <v>30</v>
      </c>
      <c r="B32" t="s">
        <v>822</v>
      </c>
      <c r="C32" t="s">
        <v>520</v>
      </c>
      <c r="D32" t="s">
        <v>311</v>
      </c>
      <c r="E32" t="s">
        <v>491</v>
      </c>
      <c r="F32">
        <v>75</v>
      </c>
      <c r="G32">
        <v>0</v>
      </c>
      <c r="H32" t="s">
        <v>792</v>
      </c>
    </row>
    <row r="33" spans="1:8">
      <c r="A33">
        <v>31</v>
      </c>
      <c r="B33" t="s">
        <v>823</v>
      </c>
      <c r="C33" t="s">
        <v>270</v>
      </c>
      <c r="D33" t="s">
        <v>311</v>
      </c>
      <c r="E33" t="s">
        <v>364</v>
      </c>
      <c r="F33">
        <v>75</v>
      </c>
      <c r="G33">
        <v>70</v>
      </c>
      <c r="H33" t="s">
        <v>794</v>
      </c>
    </row>
    <row r="34" spans="1:8">
      <c r="A34">
        <v>32</v>
      </c>
      <c r="B34" t="s">
        <v>824</v>
      </c>
      <c r="C34" t="s">
        <v>189</v>
      </c>
      <c r="D34" t="s">
        <v>486</v>
      </c>
      <c r="E34" t="s">
        <v>344</v>
      </c>
      <c r="F34">
        <v>85</v>
      </c>
      <c r="G34">
        <v>72</v>
      </c>
      <c r="H34" t="s">
        <v>794</v>
      </c>
    </row>
    <row r="35" spans="1:8">
      <c r="A35">
        <v>33</v>
      </c>
      <c r="B35" t="s">
        <v>825</v>
      </c>
      <c r="C35" t="s">
        <v>521</v>
      </c>
      <c r="D35" t="s">
        <v>311</v>
      </c>
      <c r="E35" t="s">
        <v>499</v>
      </c>
      <c r="F35">
        <v>100</v>
      </c>
      <c r="G35">
        <v>0</v>
      </c>
      <c r="H35" t="s">
        <v>794</v>
      </c>
    </row>
    <row r="36" spans="1:8">
      <c r="A36">
        <v>34</v>
      </c>
      <c r="B36" t="s">
        <v>826</v>
      </c>
      <c r="C36" t="s">
        <v>522</v>
      </c>
      <c r="D36" t="s">
        <v>311</v>
      </c>
      <c r="E36" t="s">
        <v>491</v>
      </c>
      <c r="F36">
        <v>75</v>
      </c>
      <c r="G36">
        <v>0</v>
      </c>
      <c r="H36" t="s">
        <v>792</v>
      </c>
    </row>
    <row r="37" spans="1:8">
      <c r="A37">
        <v>35</v>
      </c>
      <c r="B37" t="s">
        <v>827</v>
      </c>
      <c r="C37" t="s">
        <v>523</v>
      </c>
      <c r="D37" t="s">
        <v>311</v>
      </c>
      <c r="E37" t="s">
        <v>524</v>
      </c>
      <c r="F37">
        <v>115</v>
      </c>
      <c r="G37">
        <v>0</v>
      </c>
      <c r="H37" t="s">
        <v>794</v>
      </c>
    </row>
    <row r="38" spans="1:8">
      <c r="A38">
        <v>36</v>
      </c>
      <c r="B38" t="s">
        <v>828</v>
      </c>
      <c r="C38" t="s">
        <v>525</v>
      </c>
      <c r="D38" t="s">
        <v>311</v>
      </c>
      <c r="E38" t="s">
        <v>510</v>
      </c>
      <c r="F38">
        <v>0</v>
      </c>
      <c r="G38">
        <v>0</v>
      </c>
      <c r="H38" t="s">
        <v>794</v>
      </c>
    </row>
    <row r="39" spans="1:8">
      <c r="A39">
        <v>37</v>
      </c>
      <c r="B39" t="s">
        <v>829</v>
      </c>
      <c r="C39" t="s">
        <v>526</v>
      </c>
      <c r="D39" t="s">
        <v>311</v>
      </c>
      <c r="E39" t="s">
        <v>487</v>
      </c>
      <c r="F39">
        <v>0</v>
      </c>
      <c r="G39">
        <v>0</v>
      </c>
      <c r="H39" t="s">
        <v>794</v>
      </c>
    </row>
    <row r="40" spans="1:8">
      <c r="A40">
        <v>38</v>
      </c>
      <c r="B40" t="s">
        <v>830</v>
      </c>
      <c r="C40" t="s">
        <v>532</v>
      </c>
      <c r="D40" t="s">
        <v>486</v>
      </c>
      <c r="E40" t="s">
        <v>491</v>
      </c>
      <c r="F40">
        <v>0</v>
      </c>
      <c r="G40">
        <v>0</v>
      </c>
      <c r="H40" t="s">
        <v>794</v>
      </c>
    </row>
    <row r="41" spans="1:8">
      <c r="A41">
        <v>39</v>
      </c>
      <c r="B41" t="s">
        <v>831</v>
      </c>
      <c r="C41" t="s">
        <v>468</v>
      </c>
      <c r="D41" t="s">
        <v>486</v>
      </c>
      <c r="E41" t="s">
        <v>330</v>
      </c>
      <c r="F41">
        <v>95</v>
      </c>
      <c r="G41">
        <v>0</v>
      </c>
      <c r="H41" t="s">
        <v>794</v>
      </c>
    </row>
    <row r="42" spans="1:8">
      <c r="A42">
        <v>40</v>
      </c>
      <c r="B42" t="s">
        <v>832</v>
      </c>
      <c r="C42" t="s">
        <v>527</v>
      </c>
      <c r="D42" t="s">
        <v>311</v>
      </c>
      <c r="E42" t="s">
        <v>491</v>
      </c>
      <c r="F42">
        <v>90</v>
      </c>
      <c r="G42">
        <v>0</v>
      </c>
      <c r="H42" t="s">
        <v>792</v>
      </c>
    </row>
    <row r="43" spans="1:8">
      <c r="A43">
        <v>41</v>
      </c>
      <c r="B43" t="s">
        <v>833</v>
      </c>
      <c r="C43" t="s">
        <v>528</v>
      </c>
      <c r="D43" t="s">
        <v>486</v>
      </c>
      <c r="E43" t="s">
        <v>491</v>
      </c>
      <c r="F43">
        <v>0</v>
      </c>
      <c r="G43">
        <v>0</v>
      </c>
      <c r="H43" t="s">
        <v>792</v>
      </c>
    </row>
    <row r="44" spans="1:8">
      <c r="A44">
        <v>42</v>
      </c>
      <c r="B44" t="s">
        <v>834</v>
      </c>
      <c r="C44" t="s">
        <v>529</v>
      </c>
      <c r="D44" t="s">
        <v>311</v>
      </c>
      <c r="E44" t="s">
        <v>491</v>
      </c>
      <c r="F44">
        <v>100</v>
      </c>
      <c r="G44">
        <v>0</v>
      </c>
      <c r="H44" t="s">
        <v>792</v>
      </c>
    </row>
    <row r="45" spans="1:8">
      <c r="A45">
        <v>43</v>
      </c>
      <c r="B45" t="s">
        <v>835</v>
      </c>
      <c r="C45" t="s">
        <v>187</v>
      </c>
      <c r="D45" t="s">
        <v>312</v>
      </c>
      <c r="E45" t="s">
        <v>343</v>
      </c>
      <c r="F45">
        <v>85</v>
      </c>
      <c r="G45">
        <v>68</v>
      </c>
      <c r="H45" t="s">
        <v>794</v>
      </c>
    </row>
    <row r="46" spans="1:8">
      <c r="A46">
        <v>44</v>
      </c>
      <c r="B46" t="s">
        <v>836</v>
      </c>
      <c r="C46" t="s">
        <v>186</v>
      </c>
      <c r="D46" t="s">
        <v>312</v>
      </c>
      <c r="E46" t="s">
        <v>343</v>
      </c>
      <c r="F46">
        <v>85</v>
      </c>
      <c r="G46">
        <v>68</v>
      </c>
      <c r="H46" t="s">
        <v>794</v>
      </c>
    </row>
    <row r="47" spans="1:8">
      <c r="A47">
        <v>45</v>
      </c>
      <c r="B47" t="s">
        <v>837</v>
      </c>
      <c r="C47" t="s">
        <v>235</v>
      </c>
      <c r="D47" t="s">
        <v>312</v>
      </c>
      <c r="E47" t="s">
        <v>357</v>
      </c>
      <c r="F47">
        <v>80</v>
      </c>
      <c r="G47">
        <v>72.5</v>
      </c>
      <c r="H47" t="s">
        <v>794</v>
      </c>
    </row>
    <row r="48" spans="1:8">
      <c r="A48">
        <v>46</v>
      </c>
      <c r="B48" t="s">
        <v>838</v>
      </c>
      <c r="C48" t="s">
        <v>234</v>
      </c>
      <c r="D48" t="s">
        <v>312</v>
      </c>
      <c r="E48" t="s">
        <v>357</v>
      </c>
      <c r="F48">
        <v>80</v>
      </c>
      <c r="G48">
        <v>72.5</v>
      </c>
      <c r="H48" t="s">
        <v>794</v>
      </c>
    </row>
    <row r="49" spans="1:8">
      <c r="A49">
        <v>47</v>
      </c>
      <c r="B49" t="s">
        <v>839</v>
      </c>
      <c r="C49" t="s">
        <v>185</v>
      </c>
      <c r="D49" t="s">
        <v>312</v>
      </c>
      <c r="E49" t="s">
        <v>343</v>
      </c>
      <c r="F49">
        <v>85</v>
      </c>
      <c r="G49">
        <v>83</v>
      </c>
      <c r="H49" t="s">
        <v>794</v>
      </c>
    </row>
    <row r="50" spans="1:8">
      <c r="A50">
        <v>48</v>
      </c>
      <c r="B50" t="s">
        <v>840</v>
      </c>
      <c r="C50" t="s">
        <v>182</v>
      </c>
      <c r="D50" t="s">
        <v>312</v>
      </c>
      <c r="E50" t="s">
        <v>343</v>
      </c>
      <c r="F50">
        <v>90</v>
      </c>
      <c r="G50">
        <v>88</v>
      </c>
      <c r="H50" t="s">
        <v>794</v>
      </c>
    </row>
    <row r="51" spans="1:8">
      <c r="A51">
        <v>49</v>
      </c>
      <c r="B51" t="s">
        <v>841</v>
      </c>
      <c r="C51" t="s">
        <v>183</v>
      </c>
      <c r="D51" t="s">
        <v>312</v>
      </c>
      <c r="E51" t="s">
        <v>343</v>
      </c>
      <c r="F51">
        <v>85</v>
      </c>
      <c r="G51">
        <v>83</v>
      </c>
      <c r="H51" t="s">
        <v>794</v>
      </c>
    </row>
    <row r="52" spans="1:8">
      <c r="A52">
        <v>50</v>
      </c>
      <c r="B52" t="s">
        <v>842</v>
      </c>
      <c r="C52" t="s">
        <v>184</v>
      </c>
      <c r="D52" t="s">
        <v>312</v>
      </c>
      <c r="E52" t="s">
        <v>343</v>
      </c>
      <c r="F52">
        <v>90</v>
      </c>
      <c r="G52">
        <v>88</v>
      </c>
      <c r="H52" t="s">
        <v>794</v>
      </c>
    </row>
    <row r="53" spans="1:8">
      <c r="A53">
        <v>51</v>
      </c>
      <c r="B53" t="s">
        <v>843</v>
      </c>
      <c r="C53" t="s">
        <v>25</v>
      </c>
      <c r="D53" t="s">
        <v>312</v>
      </c>
      <c r="E53" t="s">
        <v>343</v>
      </c>
      <c r="F53">
        <v>86.5</v>
      </c>
      <c r="G53">
        <v>87.5</v>
      </c>
      <c r="H53" t="s">
        <v>792</v>
      </c>
    </row>
    <row r="54" spans="1:8">
      <c r="A54">
        <v>52</v>
      </c>
      <c r="B54" t="s">
        <v>844</v>
      </c>
      <c r="C54" t="s">
        <v>26</v>
      </c>
      <c r="D54" t="s">
        <v>313</v>
      </c>
      <c r="E54" t="s">
        <v>343</v>
      </c>
      <c r="F54">
        <v>81.5</v>
      </c>
      <c r="G54">
        <v>82.5</v>
      </c>
      <c r="H54" t="s">
        <v>792</v>
      </c>
    </row>
    <row r="55" spans="1:8">
      <c r="A55">
        <v>53</v>
      </c>
      <c r="B55" t="s">
        <v>845</v>
      </c>
      <c r="C55" t="s">
        <v>82</v>
      </c>
      <c r="D55" t="s">
        <v>312</v>
      </c>
      <c r="E55" t="s">
        <v>343</v>
      </c>
      <c r="F55">
        <v>86.5</v>
      </c>
      <c r="G55">
        <v>87.5</v>
      </c>
      <c r="H55" t="s">
        <v>792</v>
      </c>
    </row>
    <row r="56" spans="1:8">
      <c r="A56">
        <v>54</v>
      </c>
      <c r="B56" t="s">
        <v>846</v>
      </c>
      <c r="C56" t="s">
        <v>83</v>
      </c>
      <c r="D56" t="s">
        <v>313</v>
      </c>
      <c r="E56" t="s">
        <v>343</v>
      </c>
      <c r="F56">
        <v>81.5</v>
      </c>
      <c r="G56">
        <v>82.5</v>
      </c>
      <c r="H56" t="s">
        <v>792</v>
      </c>
    </row>
    <row r="57" spans="1:8">
      <c r="A57">
        <v>55</v>
      </c>
      <c r="B57" t="s">
        <v>847</v>
      </c>
      <c r="C57" t="s">
        <v>530</v>
      </c>
      <c r="D57" t="s">
        <v>314</v>
      </c>
      <c r="E57" t="s">
        <v>531</v>
      </c>
      <c r="F57">
        <v>130</v>
      </c>
      <c r="G57">
        <v>0</v>
      </c>
      <c r="H57" t="s">
        <v>794</v>
      </c>
    </row>
    <row r="58" spans="1:8">
      <c r="A58">
        <v>56</v>
      </c>
      <c r="B58" t="s">
        <v>848</v>
      </c>
      <c r="C58" t="s">
        <v>81</v>
      </c>
      <c r="D58" t="s">
        <v>314</v>
      </c>
      <c r="E58" t="s">
        <v>344</v>
      </c>
      <c r="F58">
        <v>130</v>
      </c>
      <c r="G58">
        <v>132.5</v>
      </c>
      <c r="H58" t="s">
        <v>792</v>
      </c>
    </row>
    <row r="59" spans="1:8">
      <c r="A59">
        <v>57</v>
      </c>
      <c r="B59" t="s">
        <v>849</v>
      </c>
      <c r="C59" t="s">
        <v>533</v>
      </c>
      <c r="D59" t="s">
        <v>314</v>
      </c>
      <c r="E59" t="s">
        <v>512</v>
      </c>
      <c r="F59">
        <v>102</v>
      </c>
      <c r="G59">
        <v>0</v>
      </c>
      <c r="H59" t="s">
        <v>794</v>
      </c>
    </row>
    <row r="60" spans="1:8">
      <c r="A60">
        <v>58</v>
      </c>
      <c r="B60" t="s">
        <v>850</v>
      </c>
      <c r="C60" t="s">
        <v>534</v>
      </c>
      <c r="D60" t="s">
        <v>314</v>
      </c>
      <c r="E60" t="s">
        <v>535</v>
      </c>
      <c r="F60">
        <v>125.5</v>
      </c>
      <c r="G60">
        <v>0</v>
      </c>
      <c r="H60" t="s">
        <v>792</v>
      </c>
    </row>
    <row r="61" spans="1:8">
      <c r="A61">
        <v>59</v>
      </c>
      <c r="B61" t="s">
        <v>851</v>
      </c>
      <c r="C61" t="s">
        <v>536</v>
      </c>
      <c r="D61" t="s">
        <v>314</v>
      </c>
      <c r="E61" t="s">
        <v>491</v>
      </c>
      <c r="F61">
        <v>100</v>
      </c>
      <c r="G61">
        <v>0</v>
      </c>
      <c r="H61" t="s">
        <v>792</v>
      </c>
    </row>
    <row r="62" spans="1:8">
      <c r="A62">
        <v>60</v>
      </c>
      <c r="B62" t="s">
        <v>852</v>
      </c>
      <c r="C62" t="s">
        <v>537</v>
      </c>
      <c r="D62" t="s">
        <v>314</v>
      </c>
      <c r="E62" t="s">
        <v>538</v>
      </c>
      <c r="F62">
        <v>125</v>
      </c>
      <c r="G62">
        <v>0</v>
      </c>
      <c r="H62" t="s">
        <v>794</v>
      </c>
    </row>
    <row r="63" spans="1:8">
      <c r="A63">
        <v>61</v>
      </c>
      <c r="B63" t="s">
        <v>853</v>
      </c>
      <c r="C63" t="s">
        <v>539</v>
      </c>
      <c r="D63" t="s">
        <v>314</v>
      </c>
      <c r="E63" t="s">
        <v>531</v>
      </c>
      <c r="F63">
        <v>160</v>
      </c>
      <c r="G63">
        <v>0</v>
      </c>
      <c r="H63" t="s">
        <v>794</v>
      </c>
    </row>
    <row r="64" spans="1:8">
      <c r="A64">
        <v>62</v>
      </c>
      <c r="B64" t="s">
        <v>854</v>
      </c>
      <c r="C64" t="s">
        <v>540</v>
      </c>
      <c r="D64" t="s">
        <v>314</v>
      </c>
      <c r="E64" t="s">
        <v>491</v>
      </c>
      <c r="F64">
        <v>110</v>
      </c>
      <c r="G64">
        <v>0</v>
      </c>
      <c r="H64" t="s">
        <v>792</v>
      </c>
    </row>
    <row r="65" spans="1:8">
      <c r="A65">
        <v>63</v>
      </c>
      <c r="B65" t="s">
        <v>855</v>
      </c>
      <c r="C65" t="s">
        <v>541</v>
      </c>
      <c r="D65" t="s">
        <v>314</v>
      </c>
      <c r="E65" t="s">
        <v>542</v>
      </c>
      <c r="F65">
        <v>145</v>
      </c>
      <c r="G65">
        <v>0</v>
      </c>
      <c r="H65" t="s">
        <v>794</v>
      </c>
    </row>
    <row r="66" spans="1:8">
      <c r="A66">
        <v>64</v>
      </c>
      <c r="B66" t="s">
        <v>856</v>
      </c>
      <c r="C66" t="s">
        <v>543</v>
      </c>
      <c r="D66" t="s">
        <v>314</v>
      </c>
      <c r="E66" t="s">
        <v>499</v>
      </c>
      <c r="F66">
        <v>130</v>
      </c>
      <c r="G66">
        <v>0</v>
      </c>
      <c r="H66" t="s">
        <v>794</v>
      </c>
    </row>
    <row r="67" spans="1:8">
      <c r="A67">
        <v>65</v>
      </c>
      <c r="B67" t="s">
        <v>857</v>
      </c>
      <c r="C67" t="s">
        <v>544</v>
      </c>
      <c r="D67" t="s">
        <v>314</v>
      </c>
      <c r="E67" t="s">
        <v>531</v>
      </c>
      <c r="F67">
        <v>160</v>
      </c>
      <c r="G67">
        <v>0</v>
      </c>
      <c r="H67" t="s">
        <v>794</v>
      </c>
    </row>
    <row r="68" spans="1:8">
      <c r="A68">
        <v>66</v>
      </c>
      <c r="B68" t="s">
        <v>858</v>
      </c>
      <c r="C68" t="s">
        <v>473</v>
      </c>
      <c r="D68" t="s">
        <v>314</v>
      </c>
      <c r="E68" t="s">
        <v>542</v>
      </c>
      <c r="F68">
        <v>145</v>
      </c>
      <c r="G68">
        <v>0</v>
      </c>
      <c r="H68" t="s">
        <v>794</v>
      </c>
    </row>
    <row r="69" spans="1:8">
      <c r="A69">
        <v>67</v>
      </c>
      <c r="B69" t="s">
        <v>859</v>
      </c>
      <c r="C69" t="s">
        <v>545</v>
      </c>
      <c r="D69" t="s">
        <v>314</v>
      </c>
      <c r="E69" t="s">
        <v>531</v>
      </c>
      <c r="F69">
        <v>160</v>
      </c>
      <c r="G69">
        <v>0</v>
      </c>
      <c r="H69" t="s">
        <v>794</v>
      </c>
    </row>
    <row r="70" spans="1:8">
      <c r="A70">
        <v>68</v>
      </c>
      <c r="B70" t="s">
        <v>860</v>
      </c>
      <c r="C70" t="s">
        <v>546</v>
      </c>
      <c r="D70" t="s">
        <v>314</v>
      </c>
      <c r="E70" t="s">
        <v>491</v>
      </c>
      <c r="F70">
        <v>130</v>
      </c>
      <c r="G70">
        <v>0</v>
      </c>
      <c r="H70" t="s">
        <v>792</v>
      </c>
    </row>
    <row r="71" spans="1:8">
      <c r="A71">
        <v>69</v>
      </c>
      <c r="B71" t="s">
        <v>861</v>
      </c>
      <c r="C71" t="s">
        <v>547</v>
      </c>
      <c r="D71" t="s">
        <v>314</v>
      </c>
      <c r="E71" t="s">
        <v>531</v>
      </c>
      <c r="F71">
        <v>160</v>
      </c>
      <c r="G71">
        <v>0</v>
      </c>
      <c r="H71" t="s">
        <v>794</v>
      </c>
    </row>
    <row r="72" spans="1:8">
      <c r="A72">
        <v>70</v>
      </c>
      <c r="B72" t="s">
        <v>862</v>
      </c>
      <c r="C72" t="s">
        <v>548</v>
      </c>
      <c r="D72" t="s">
        <v>314</v>
      </c>
      <c r="E72" t="s">
        <v>491</v>
      </c>
      <c r="F72">
        <v>130</v>
      </c>
      <c r="G72">
        <v>0</v>
      </c>
      <c r="H72" t="s">
        <v>792</v>
      </c>
    </row>
    <row r="73" spans="1:8">
      <c r="A73">
        <v>71</v>
      </c>
      <c r="B73" t="s">
        <v>863</v>
      </c>
      <c r="C73" t="s">
        <v>549</v>
      </c>
      <c r="D73" t="s">
        <v>314</v>
      </c>
      <c r="E73" t="s">
        <v>550</v>
      </c>
      <c r="F73">
        <v>150</v>
      </c>
      <c r="G73">
        <v>0</v>
      </c>
      <c r="H73" t="s">
        <v>794</v>
      </c>
    </row>
    <row r="74" spans="1:8">
      <c r="A74">
        <v>72</v>
      </c>
      <c r="B74" t="s">
        <v>864</v>
      </c>
      <c r="C74" t="s">
        <v>551</v>
      </c>
      <c r="D74" t="s">
        <v>314</v>
      </c>
      <c r="E74" t="s">
        <v>542</v>
      </c>
      <c r="F74">
        <v>115</v>
      </c>
      <c r="G74">
        <v>0</v>
      </c>
      <c r="H74" t="s">
        <v>792</v>
      </c>
    </row>
    <row r="75" spans="1:8">
      <c r="A75">
        <v>73</v>
      </c>
      <c r="B75" t="s">
        <v>865</v>
      </c>
      <c r="C75" t="s">
        <v>475</v>
      </c>
      <c r="D75" t="s">
        <v>314</v>
      </c>
      <c r="E75" t="s">
        <v>344</v>
      </c>
      <c r="F75">
        <v>0</v>
      </c>
      <c r="G75">
        <v>0</v>
      </c>
      <c r="H75" t="s">
        <v>794</v>
      </c>
    </row>
    <row r="76" spans="1:8">
      <c r="A76">
        <v>74</v>
      </c>
      <c r="B76" t="s">
        <v>866</v>
      </c>
      <c r="C76" t="s">
        <v>188</v>
      </c>
      <c r="D76" t="s">
        <v>314</v>
      </c>
      <c r="E76" t="s">
        <v>344</v>
      </c>
      <c r="F76">
        <v>140</v>
      </c>
      <c r="G76">
        <v>132.5</v>
      </c>
      <c r="H76" t="s">
        <v>794</v>
      </c>
    </row>
    <row r="77" spans="1:8">
      <c r="A77">
        <v>75</v>
      </c>
      <c r="B77" t="s">
        <v>867</v>
      </c>
      <c r="C77" t="s">
        <v>552</v>
      </c>
      <c r="D77" t="s">
        <v>314</v>
      </c>
      <c r="E77" t="s">
        <v>535</v>
      </c>
      <c r="F77">
        <v>0</v>
      </c>
      <c r="G77">
        <v>0</v>
      </c>
      <c r="H77" t="s">
        <v>792</v>
      </c>
    </row>
    <row r="78" spans="1:8">
      <c r="A78">
        <v>76</v>
      </c>
      <c r="B78" t="s">
        <v>868</v>
      </c>
      <c r="C78" t="s">
        <v>553</v>
      </c>
      <c r="D78" t="s">
        <v>314</v>
      </c>
      <c r="E78" t="s">
        <v>554</v>
      </c>
      <c r="F78">
        <v>132</v>
      </c>
      <c r="G78">
        <v>0</v>
      </c>
      <c r="H78" t="s">
        <v>792</v>
      </c>
    </row>
    <row r="79" spans="1:8">
      <c r="A79">
        <v>77</v>
      </c>
      <c r="B79" t="s">
        <v>869</v>
      </c>
      <c r="C79" t="s">
        <v>555</v>
      </c>
      <c r="D79" t="s">
        <v>314</v>
      </c>
      <c r="E79" t="s">
        <v>538</v>
      </c>
      <c r="F79">
        <v>140</v>
      </c>
      <c r="G79">
        <v>0</v>
      </c>
      <c r="H79" t="s">
        <v>794</v>
      </c>
    </row>
    <row r="80" spans="1:8">
      <c r="A80">
        <v>78</v>
      </c>
      <c r="B80" t="s">
        <v>870</v>
      </c>
      <c r="C80" t="s">
        <v>556</v>
      </c>
      <c r="D80" t="s">
        <v>314</v>
      </c>
      <c r="E80" t="s">
        <v>512</v>
      </c>
      <c r="F80">
        <v>0</v>
      </c>
      <c r="G80">
        <v>0</v>
      </c>
      <c r="H80" t="s">
        <v>794</v>
      </c>
    </row>
    <row r="81" spans="1:8">
      <c r="A81">
        <v>79</v>
      </c>
      <c r="B81" t="s">
        <v>871</v>
      </c>
      <c r="C81" t="s">
        <v>472</v>
      </c>
      <c r="D81" t="s">
        <v>317</v>
      </c>
      <c r="E81" t="s">
        <v>350</v>
      </c>
      <c r="F81">
        <v>0</v>
      </c>
      <c r="G81">
        <v>0</v>
      </c>
      <c r="H81" t="s">
        <v>794</v>
      </c>
    </row>
    <row r="82" spans="1:8">
      <c r="A82">
        <v>80</v>
      </c>
      <c r="B82" t="s">
        <v>872</v>
      </c>
      <c r="C82" t="s">
        <v>557</v>
      </c>
      <c r="D82" t="s">
        <v>317</v>
      </c>
      <c r="E82" t="s">
        <v>558</v>
      </c>
      <c r="F82">
        <v>125.75</v>
      </c>
      <c r="G82">
        <v>0</v>
      </c>
      <c r="H82" t="s">
        <v>792</v>
      </c>
    </row>
    <row r="83" spans="1:8">
      <c r="A83">
        <v>81</v>
      </c>
      <c r="B83" t="s">
        <v>873</v>
      </c>
      <c r="C83" t="s">
        <v>24</v>
      </c>
      <c r="D83" t="s">
        <v>317</v>
      </c>
      <c r="E83" t="s">
        <v>350</v>
      </c>
      <c r="F83">
        <v>137.5</v>
      </c>
      <c r="G83">
        <v>140</v>
      </c>
      <c r="H83" t="s">
        <v>792</v>
      </c>
    </row>
    <row r="84" spans="1:8">
      <c r="A84">
        <v>82</v>
      </c>
      <c r="B84" t="s">
        <v>874</v>
      </c>
      <c r="C84" t="s">
        <v>559</v>
      </c>
      <c r="D84" t="s">
        <v>317</v>
      </c>
      <c r="E84" t="s">
        <v>558</v>
      </c>
      <c r="F84">
        <v>0</v>
      </c>
      <c r="G84">
        <v>0</v>
      </c>
      <c r="H84" t="s">
        <v>792</v>
      </c>
    </row>
    <row r="85" spans="1:8">
      <c r="A85">
        <v>83</v>
      </c>
      <c r="B85" t="s">
        <v>875</v>
      </c>
      <c r="C85" t="s">
        <v>206</v>
      </c>
      <c r="D85" t="s">
        <v>317</v>
      </c>
      <c r="E85" t="s">
        <v>350</v>
      </c>
      <c r="F85">
        <v>250</v>
      </c>
      <c r="G85">
        <v>244</v>
      </c>
      <c r="H85" t="s">
        <v>794</v>
      </c>
    </row>
    <row r="86" spans="1:8">
      <c r="A86">
        <v>84</v>
      </c>
      <c r="B86" t="s">
        <v>876</v>
      </c>
      <c r="C86" t="s">
        <v>560</v>
      </c>
      <c r="D86" t="s">
        <v>317</v>
      </c>
      <c r="E86" t="s">
        <v>558</v>
      </c>
      <c r="F86">
        <v>205.75</v>
      </c>
      <c r="G86">
        <v>0</v>
      </c>
      <c r="H86" t="s">
        <v>792</v>
      </c>
    </row>
    <row r="87" spans="1:8">
      <c r="A87">
        <v>85</v>
      </c>
      <c r="B87" t="s">
        <v>877</v>
      </c>
      <c r="C87" t="s">
        <v>205</v>
      </c>
      <c r="D87" t="s">
        <v>317</v>
      </c>
      <c r="E87" t="s">
        <v>350</v>
      </c>
      <c r="F87">
        <v>230</v>
      </c>
      <c r="G87">
        <v>206</v>
      </c>
      <c r="H87" t="s">
        <v>794</v>
      </c>
    </row>
    <row r="88" spans="1:8">
      <c r="A88">
        <v>86</v>
      </c>
      <c r="B88" t="s">
        <v>878</v>
      </c>
      <c r="C88" t="s">
        <v>207</v>
      </c>
      <c r="D88" t="s">
        <v>317</v>
      </c>
      <c r="E88" t="s">
        <v>350</v>
      </c>
      <c r="F88">
        <v>230</v>
      </c>
      <c r="G88">
        <v>214</v>
      </c>
      <c r="H88" t="s">
        <v>794</v>
      </c>
    </row>
    <row r="89" spans="1:8">
      <c r="A89">
        <v>87</v>
      </c>
      <c r="B89" t="s">
        <v>879</v>
      </c>
      <c r="C89" t="s">
        <v>880</v>
      </c>
      <c r="D89" t="s">
        <v>317</v>
      </c>
      <c r="E89" t="s">
        <v>881</v>
      </c>
      <c r="F89">
        <v>135</v>
      </c>
      <c r="G89">
        <v>0</v>
      </c>
      <c r="H89" t="s">
        <v>794</v>
      </c>
    </row>
    <row r="90" spans="1:8">
      <c r="A90">
        <v>88</v>
      </c>
      <c r="B90" t="s">
        <v>882</v>
      </c>
      <c r="C90" t="s">
        <v>150</v>
      </c>
      <c r="D90" t="s">
        <v>309</v>
      </c>
      <c r="E90" t="s">
        <v>335</v>
      </c>
      <c r="F90">
        <v>0</v>
      </c>
      <c r="G90">
        <v>80</v>
      </c>
      <c r="H90" t="s">
        <v>794</v>
      </c>
    </row>
    <row r="91" spans="1:8">
      <c r="A91">
        <v>89</v>
      </c>
      <c r="B91" t="s">
        <v>883</v>
      </c>
      <c r="C91" t="s">
        <v>149</v>
      </c>
      <c r="D91" t="s">
        <v>309</v>
      </c>
      <c r="E91" t="s">
        <v>335</v>
      </c>
      <c r="F91">
        <v>0</v>
      </c>
      <c r="G91">
        <v>80</v>
      </c>
      <c r="H91" t="s">
        <v>794</v>
      </c>
    </row>
    <row r="92" spans="1:8">
      <c r="A92">
        <v>90</v>
      </c>
      <c r="B92" t="s">
        <v>884</v>
      </c>
      <c r="C92" t="s">
        <v>27</v>
      </c>
      <c r="D92" t="s">
        <v>317</v>
      </c>
      <c r="E92" t="s">
        <v>350</v>
      </c>
      <c r="F92">
        <v>75</v>
      </c>
      <c r="G92">
        <v>0</v>
      </c>
      <c r="H92" t="s">
        <v>792</v>
      </c>
    </row>
    <row r="93" spans="1:8">
      <c r="A93">
        <v>91</v>
      </c>
      <c r="B93" t="s">
        <v>885</v>
      </c>
      <c r="C93" t="s">
        <v>561</v>
      </c>
      <c r="D93" t="s">
        <v>562</v>
      </c>
      <c r="E93" t="s">
        <v>512</v>
      </c>
      <c r="F93">
        <v>0</v>
      </c>
      <c r="G93">
        <v>0</v>
      </c>
      <c r="H93" t="s">
        <v>794</v>
      </c>
    </row>
    <row r="94" spans="1:8">
      <c r="A94">
        <v>92</v>
      </c>
      <c r="B94" t="s">
        <v>886</v>
      </c>
      <c r="C94" t="s">
        <v>563</v>
      </c>
      <c r="D94" t="s">
        <v>562</v>
      </c>
      <c r="E94" t="s">
        <v>564</v>
      </c>
      <c r="F94">
        <v>56.2</v>
      </c>
      <c r="G94">
        <v>0</v>
      </c>
      <c r="H94" t="s">
        <v>792</v>
      </c>
    </row>
    <row r="95" spans="1:8">
      <c r="A95">
        <v>93</v>
      </c>
      <c r="B95" t="s">
        <v>887</v>
      </c>
      <c r="C95" t="s">
        <v>565</v>
      </c>
      <c r="D95" t="s">
        <v>562</v>
      </c>
      <c r="E95" t="s">
        <v>512</v>
      </c>
      <c r="F95">
        <v>0</v>
      </c>
      <c r="G95">
        <v>0</v>
      </c>
      <c r="H95" t="s">
        <v>794</v>
      </c>
    </row>
    <row r="96" spans="1:8">
      <c r="A96">
        <v>94</v>
      </c>
      <c r="B96" t="s">
        <v>888</v>
      </c>
      <c r="C96" t="s">
        <v>566</v>
      </c>
      <c r="D96" t="s">
        <v>562</v>
      </c>
      <c r="E96" t="s">
        <v>567</v>
      </c>
      <c r="F96">
        <v>40</v>
      </c>
      <c r="G96">
        <v>0</v>
      </c>
      <c r="H96" t="s">
        <v>794</v>
      </c>
    </row>
    <row r="97" spans="1:8">
      <c r="A97">
        <v>95</v>
      </c>
      <c r="B97" t="s">
        <v>889</v>
      </c>
      <c r="C97" t="s">
        <v>568</v>
      </c>
      <c r="D97" t="s">
        <v>562</v>
      </c>
      <c r="E97" t="s">
        <v>535</v>
      </c>
      <c r="F97">
        <v>66.349999999999994</v>
      </c>
      <c r="G97">
        <v>0</v>
      </c>
      <c r="H97" t="s">
        <v>792</v>
      </c>
    </row>
    <row r="98" spans="1:8">
      <c r="A98">
        <v>96</v>
      </c>
      <c r="B98" t="s">
        <v>890</v>
      </c>
      <c r="C98" t="s">
        <v>569</v>
      </c>
      <c r="D98" t="s">
        <v>562</v>
      </c>
      <c r="E98" t="s">
        <v>567</v>
      </c>
      <c r="F98">
        <v>25</v>
      </c>
      <c r="G98">
        <v>0</v>
      </c>
      <c r="H98" t="s">
        <v>794</v>
      </c>
    </row>
    <row r="99" spans="1:8">
      <c r="A99">
        <v>97</v>
      </c>
      <c r="B99" t="s">
        <v>891</v>
      </c>
      <c r="C99" t="s">
        <v>297</v>
      </c>
      <c r="D99" t="s">
        <v>30</v>
      </c>
      <c r="E99" t="s">
        <v>370</v>
      </c>
      <c r="F99">
        <v>0</v>
      </c>
      <c r="G99">
        <v>70.25</v>
      </c>
      <c r="H99" t="s">
        <v>794</v>
      </c>
    </row>
    <row r="100" spans="1:8">
      <c r="A100">
        <v>98</v>
      </c>
      <c r="B100" t="s">
        <v>892</v>
      </c>
      <c r="C100" t="s">
        <v>570</v>
      </c>
      <c r="D100" t="s">
        <v>30</v>
      </c>
      <c r="E100" t="s">
        <v>510</v>
      </c>
      <c r="F100">
        <v>0</v>
      </c>
      <c r="G100">
        <v>0</v>
      </c>
      <c r="H100" t="s">
        <v>794</v>
      </c>
    </row>
    <row r="101" spans="1:8">
      <c r="A101">
        <v>99</v>
      </c>
      <c r="B101" t="s">
        <v>893</v>
      </c>
      <c r="C101" t="s">
        <v>86</v>
      </c>
      <c r="D101" t="s">
        <v>28</v>
      </c>
      <c r="E101" t="s">
        <v>359</v>
      </c>
      <c r="F101">
        <v>85.65</v>
      </c>
      <c r="G101">
        <v>88.15</v>
      </c>
      <c r="H101" t="s">
        <v>792</v>
      </c>
    </row>
    <row r="102" spans="1:8">
      <c r="A102">
        <v>100</v>
      </c>
      <c r="B102" t="s">
        <v>894</v>
      </c>
      <c r="C102" t="s">
        <v>31</v>
      </c>
      <c r="D102" t="s">
        <v>304</v>
      </c>
      <c r="E102" t="s">
        <v>352</v>
      </c>
      <c r="F102">
        <v>101</v>
      </c>
      <c r="G102">
        <v>103</v>
      </c>
      <c r="H102" t="s">
        <v>792</v>
      </c>
    </row>
    <row r="103" spans="1:8">
      <c r="A103">
        <v>101</v>
      </c>
      <c r="B103" t="s">
        <v>895</v>
      </c>
      <c r="C103" t="s">
        <v>85</v>
      </c>
      <c r="D103" t="s">
        <v>28</v>
      </c>
      <c r="E103" t="s">
        <v>359</v>
      </c>
      <c r="F103">
        <v>91.65</v>
      </c>
      <c r="G103">
        <v>93.65</v>
      </c>
      <c r="H103" t="s">
        <v>792</v>
      </c>
    </row>
    <row r="104" spans="1:8">
      <c r="A104">
        <v>102</v>
      </c>
      <c r="B104" t="s">
        <v>896</v>
      </c>
      <c r="C104" t="s">
        <v>296</v>
      </c>
      <c r="D104" t="s">
        <v>327</v>
      </c>
      <c r="E104" t="s">
        <v>370</v>
      </c>
      <c r="F104">
        <v>0</v>
      </c>
      <c r="G104">
        <v>77.95</v>
      </c>
      <c r="H104" t="s">
        <v>794</v>
      </c>
    </row>
    <row r="105" spans="1:8">
      <c r="A105">
        <v>103</v>
      </c>
      <c r="B105" t="s">
        <v>897</v>
      </c>
      <c r="C105" t="s">
        <v>89</v>
      </c>
      <c r="D105" t="s">
        <v>304</v>
      </c>
      <c r="E105" t="s">
        <v>352</v>
      </c>
      <c r="F105">
        <v>103</v>
      </c>
      <c r="G105">
        <v>104</v>
      </c>
      <c r="H105" t="s">
        <v>792</v>
      </c>
    </row>
    <row r="106" spans="1:8">
      <c r="A106">
        <v>104</v>
      </c>
      <c r="B106" t="s">
        <v>898</v>
      </c>
      <c r="C106" t="s">
        <v>476</v>
      </c>
      <c r="D106" t="s">
        <v>304</v>
      </c>
      <c r="E106" t="s">
        <v>359</v>
      </c>
      <c r="F106">
        <v>105</v>
      </c>
      <c r="G106">
        <v>0</v>
      </c>
      <c r="H106" t="s">
        <v>794</v>
      </c>
    </row>
    <row r="107" spans="1:8">
      <c r="A107">
        <v>105</v>
      </c>
      <c r="B107" t="s">
        <v>899</v>
      </c>
      <c r="C107" t="s">
        <v>84</v>
      </c>
      <c r="D107" t="s">
        <v>28</v>
      </c>
      <c r="E107" t="s">
        <v>359</v>
      </c>
      <c r="F107">
        <v>89.05</v>
      </c>
      <c r="G107">
        <v>94.05</v>
      </c>
      <c r="H107" t="s">
        <v>792</v>
      </c>
    </row>
    <row r="108" spans="1:8">
      <c r="A108">
        <v>106</v>
      </c>
      <c r="B108" t="s">
        <v>900</v>
      </c>
      <c r="C108" t="s">
        <v>571</v>
      </c>
      <c r="D108" t="s">
        <v>28</v>
      </c>
      <c r="E108" t="s">
        <v>572</v>
      </c>
      <c r="F108">
        <v>89.6</v>
      </c>
      <c r="G108">
        <v>0</v>
      </c>
      <c r="H108" t="s">
        <v>792</v>
      </c>
    </row>
    <row r="109" spans="1:8">
      <c r="A109">
        <v>107</v>
      </c>
      <c r="B109" t="s">
        <v>901</v>
      </c>
      <c r="C109" t="s">
        <v>129</v>
      </c>
      <c r="D109" t="s">
        <v>304</v>
      </c>
      <c r="E109" t="s">
        <v>330</v>
      </c>
      <c r="F109">
        <v>95</v>
      </c>
      <c r="G109">
        <v>88</v>
      </c>
      <c r="H109" t="s">
        <v>794</v>
      </c>
    </row>
    <row r="110" spans="1:8">
      <c r="A110">
        <v>108</v>
      </c>
      <c r="B110" t="s">
        <v>902</v>
      </c>
      <c r="C110" t="s">
        <v>903</v>
      </c>
      <c r="D110" t="s">
        <v>577</v>
      </c>
      <c r="E110" t="s">
        <v>578</v>
      </c>
      <c r="F110">
        <v>90</v>
      </c>
      <c r="G110">
        <v>0</v>
      </c>
      <c r="H110" t="s">
        <v>794</v>
      </c>
    </row>
    <row r="111" spans="1:8">
      <c r="A111">
        <v>109</v>
      </c>
      <c r="B111" t="s">
        <v>904</v>
      </c>
      <c r="C111" t="s">
        <v>246</v>
      </c>
      <c r="D111" t="s">
        <v>304</v>
      </c>
      <c r="E111" t="s">
        <v>359</v>
      </c>
      <c r="F111">
        <v>90</v>
      </c>
      <c r="G111">
        <v>81</v>
      </c>
      <c r="H111" t="s">
        <v>794</v>
      </c>
    </row>
    <row r="112" spans="1:8">
      <c r="A112">
        <v>110</v>
      </c>
      <c r="B112" t="s">
        <v>905</v>
      </c>
      <c r="C112" t="s">
        <v>88</v>
      </c>
      <c r="D112" t="s">
        <v>304</v>
      </c>
      <c r="E112" t="s">
        <v>330</v>
      </c>
      <c r="F112">
        <v>105</v>
      </c>
      <c r="G112">
        <v>105</v>
      </c>
      <c r="H112" t="s">
        <v>792</v>
      </c>
    </row>
    <row r="113" spans="1:8">
      <c r="A113">
        <v>111</v>
      </c>
      <c r="B113" t="s">
        <v>906</v>
      </c>
      <c r="C113" t="s">
        <v>224</v>
      </c>
      <c r="D113" t="s">
        <v>28</v>
      </c>
      <c r="E113" t="s">
        <v>354</v>
      </c>
      <c r="F113">
        <v>105</v>
      </c>
      <c r="G113">
        <v>97</v>
      </c>
      <c r="H113" t="s">
        <v>794</v>
      </c>
    </row>
    <row r="114" spans="1:8">
      <c r="A114">
        <v>112</v>
      </c>
      <c r="B114" t="s">
        <v>907</v>
      </c>
      <c r="C114" t="s">
        <v>573</v>
      </c>
      <c r="D114" t="s">
        <v>30</v>
      </c>
      <c r="E114" t="s">
        <v>574</v>
      </c>
      <c r="F114">
        <v>110</v>
      </c>
      <c r="G114">
        <v>0</v>
      </c>
      <c r="H114" t="s">
        <v>794</v>
      </c>
    </row>
    <row r="115" spans="1:8">
      <c r="A115">
        <v>113</v>
      </c>
      <c r="B115" t="s">
        <v>908</v>
      </c>
      <c r="C115" t="s">
        <v>245</v>
      </c>
      <c r="D115" t="s">
        <v>28</v>
      </c>
      <c r="E115" t="s">
        <v>359</v>
      </c>
      <c r="F115">
        <v>0</v>
      </c>
      <c r="G115">
        <v>90.05</v>
      </c>
      <c r="H115" t="s">
        <v>794</v>
      </c>
    </row>
    <row r="116" spans="1:8">
      <c r="A116">
        <v>114</v>
      </c>
      <c r="B116" t="s">
        <v>909</v>
      </c>
      <c r="C116" t="s">
        <v>176</v>
      </c>
      <c r="D116" t="s">
        <v>30</v>
      </c>
      <c r="E116" t="s">
        <v>341</v>
      </c>
      <c r="F116">
        <v>185</v>
      </c>
      <c r="G116">
        <v>128</v>
      </c>
      <c r="H116" t="s">
        <v>794</v>
      </c>
    </row>
    <row r="117" spans="1:8">
      <c r="A117">
        <v>115</v>
      </c>
      <c r="B117" t="s">
        <v>910</v>
      </c>
      <c r="C117" t="s">
        <v>575</v>
      </c>
      <c r="D117" t="s">
        <v>304</v>
      </c>
      <c r="E117" t="s">
        <v>491</v>
      </c>
      <c r="F117">
        <v>98</v>
      </c>
      <c r="G117">
        <v>0</v>
      </c>
      <c r="H117" t="s">
        <v>792</v>
      </c>
    </row>
    <row r="118" spans="1:8">
      <c r="A118">
        <v>116</v>
      </c>
      <c r="B118" t="s">
        <v>911</v>
      </c>
      <c r="C118" t="s">
        <v>576</v>
      </c>
      <c r="D118" t="s">
        <v>577</v>
      </c>
      <c r="E118" t="s">
        <v>578</v>
      </c>
      <c r="F118">
        <v>95</v>
      </c>
      <c r="G118">
        <v>0</v>
      </c>
      <c r="H118" t="s">
        <v>794</v>
      </c>
    </row>
    <row r="119" spans="1:8">
      <c r="A119">
        <v>117</v>
      </c>
      <c r="B119" t="s">
        <v>912</v>
      </c>
      <c r="C119" t="s">
        <v>579</v>
      </c>
      <c r="D119" t="s">
        <v>39</v>
      </c>
      <c r="E119" t="s">
        <v>567</v>
      </c>
      <c r="F119">
        <v>75</v>
      </c>
      <c r="G119">
        <v>0</v>
      </c>
      <c r="H119" t="s">
        <v>794</v>
      </c>
    </row>
    <row r="120" spans="1:8">
      <c r="A120">
        <v>118</v>
      </c>
      <c r="B120" t="s">
        <v>913</v>
      </c>
      <c r="C120" t="s">
        <v>87</v>
      </c>
      <c r="D120" t="s">
        <v>28</v>
      </c>
      <c r="E120" t="s">
        <v>359</v>
      </c>
      <c r="F120">
        <v>85.65</v>
      </c>
      <c r="G120">
        <v>88.15</v>
      </c>
      <c r="H120" t="s">
        <v>792</v>
      </c>
    </row>
    <row r="121" spans="1:8">
      <c r="A121">
        <v>119</v>
      </c>
      <c r="B121" t="s">
        <v>914</v>
      </c>
      <c r="C121" t="s">
        <v>295</v>
      </c>
      <c r="D121" t="s">
        <v>326</v>
      </c>
      <c r="E121" t="s">
        <v>370</v>
      </c>
      <c r="F121">
        <v>0</v>
      </c>
      <c r="G121">
        <v>56.65</v>
      </c>
      <c r="H121" t="s">
        <v>794</v>
      </c>
    </row>
    <row r="122" spans="1:8">
      <c r="A122">
        <v>120</v>
      </c>
      <c r="B122" t="s">
        <v>915</v>
      </c>
      <c r="C122" t="s">
        <v>29</v>
      </c>
      <c r="D122" t="s">
        <v>28</v>
      </c>
      <c r="E122" t="s">
        <v>352</v>
      </c>
      <c r="F122">
        <v>83</v>
      </c>
      <c r="G122">
        <v>85</v>
      </c>
      <c r="H122" t="s">
        <v>792</v>
      </c>
    </row>
    <row r="123" spans="1:8">
      <c r="A123">
        <v>121</v>
      </c>
      <c r="B123" t="s">
        <v>916</v>
      </c>
      <c r="C123" t="s">
        <v>254</v>
      </c>
      <c r="D123" t="s">
        <v>28</v>
      </c>
      <c r="E123" t="s">
        <v>359</v>
      </c>
      <c r="F123">
        <v>0</v>
      </c>
      <c r="G123">
        <v>91.75</v>
      </c>
      <c r="H123" t="s">
        <v>794</v>
      </c>
    </row>
    <row r="124" spans="1:8">
      <c r="A124">
        <v>122</v>
      </c>
      <c r="B124" t="s">
        <v>917</v>
      </c>
      <c r="C124" t="s">
        <v>580</v>
      </c>
      <c r="D124" t="s">
        <v>577</v>
      </c>
      <c r="E124" t="s">
        <v>578</v>
      </c>
      <c r="F124">
        <v>90</v>
      </c>
      <c r="G124">
        <v>0</v>
      </c>
      <c r="H124" t="s">
        <v>794</v>
      </c>
    </row>
    <row r="125" spans="1:8">
      <c r="A125">
        <v>123</v>
      </c>
      <c r="B125" t="s">
        <v>918</v>
      </c>
      <c r="C125" t="s">
        <v>248</v>
      </c>
      <c r="D125" t="s">
        <v>304</v>
      </c>
      <c r="E125" t="s">
        <v>359</v>
      </c>
      <c r="F125">
        <v>0</v>
      </c>
      <c r="G125">
        <v>82.25</v>
      </c>
      <c r="H125" t="s">
        <v>794</v>
      </c>
    </row>
    <row r="126" spans="1:8">
      <c r="A126">
        <v>124</v>
      </c>
      <c r="B126" t="s">
        <v>919</v>
      </c>
      <c r="C126" t="s">
        <v>273</v>
      </c>
      <c r="D126" t="s">
        <v>305</v>
      </c>
      <c r="E126" t="s">
        <v>365</v>
      </c>
      <c r="F126">
        <v>110</v>
      </c>
      <c r="G126">
        <v>116.15</v>
      </c>
      <c r="H126" t="s">
        <v>794</v>
      </c>
    </row>
    <row r="127" spans="1:8">
      <c r="A127">
        <v>125</v>
      </c>
      <c r="B127" t="s">
        <v>920</v>
      </c>
      <c r="C127" t="s">
        <v>581</v>
      </c>
      <c r="D127" t="s">
        <v>30</v>
      </c>
      <c r="E127" t="s">
        <v>582</v>
      </c>
      <c r="F127">
        <v>0</v>
      </c>
      <c r="G127">
        <v>0</v>
      </c>
      <c r="H127" t="s">
        <v>794</v>
      </c>
    </row>
    <row r="128" spans="1:8">
      <c r="A128">
        <v>126</v>
      </c>
      <c r="B128" t="s">
        <v>921</v>
      </c>
      <c r="C128" t="s">
        <v>134</v>
      </c>
      <c r="D128" t="s">
        <v>305</v>
      </c>
      <c r="E128" t="s">
        <v>330</v>
      </c>
      <c r="F128">
        <v>120</v>
      </c>
      <c r="G128">
        <v>112</v>
      </c>
      <c r="H128" t="s">
        <v>794</v>
      </c>
    </row>
    <row r="129" spans="1:8">
      <c r="A129">
        <v>127</v>
      </c>
      <c r="B129" t="s">
        <v>922</v>
      </c>
      <c r="C129" t="s">
        <v>583</v>
      </c>
      <c r="D129" t="s">
        <v>32</v>
      </c>
      <c r="E129" t="s">
        <v>584</v>
      </c>
      <c r="F129">
        <v>97.5</v>
      </c>
      <c r="G129">
        <v>0</v>
      </c>
      <c r="H129" t="s">
        <v>792</v>
      </c>
    </row>
    <row r="130" spans="1:8">
      <c r="A130">
        <v>128</v>
      </c>
      <c r="B130" t="s">
        <v>923</v>
      </c>
      <c r="C130" t="s">
        <v>275</v>
      </c>
      <c r="D130" t="s">
        <v>32</v>
      </c>
      <c r="E130" t="s">
        <v>366</v>
      </c>
      <c r="F130">
        <v>90</v>
      </c>
      <c r="G130">
        <v>94.15</v>
      </c>
      <c r="H130" t="s">
        <v>794</v>
      </c>
    </row>
    <row r="131" spans="1:8">
      <c r="A131">
        <v>129</v>
      </c>
      <c r="B131" t="s">
        <v>924</v>
      </c>
      <c r="C131" t="s">
        <v>178</v>
      </c>
      <c r="D131" t="s">
        <v>32</v>
      </c>
      <c r="E131" t="s">
        <v>341</v>
      </c>
      <c r="F131">
        <v>110</v>
      </c>
      <c r="G131">
        <v>98</v>
      </c>
      <c r="H131" t="s">
        <v>794</v>
      </c>
    </row>
    <row r="132" spans="1:8">
      <c r="A132">
        <v>130</v>
      </c>
      <c r="B132" t="s">
        <v>925</v>
      </c>
      <c r="C132" t="s">
        <v>132</v>
      </c>
      <c r="D132" t="s">
        <v>32</v>
      </c>
      <c r="E132" t="s">
        <v>330</v>
      </c>
      <c r="F132">
        <v>110</v>
      </c>
      <c r="G132">
        <v>104</v>
      </c>
      <c r="H132" t="s">
        <v>794</v>
      </c>
    </row>
    <row r="133" spans="1:8">
      <c r="A133">
        <v>131</v>
      </c>
      <c r="B133" t="s">
        <v>926</v>
      </c>
      <c r="C133" t="s">
        <v>179</v>
      </c>
      <c r="D133" t="s">
        <v>32</v>
      </c>
      <c r="E133" t="s">
        <v>341</v>
      </c>
      <c r="F133">
        <v>110</v>
      </c>
      <c r="G133">
        <v>98</v>
      </c>
      <c r="H133" t="s">
        <v>794</v>
      </c>
    </row>
    <row r="134" spans="1:8">
      <c r="A134">
        <v>132</v>
      </c>
      <c r="B134" t="s">
        <v>927</v>
      </c>
      <c r="C134" t="s">
        <v>585</v>
      </c>
      <c r="D134" t="s">
        <v>32</v>
      </c>
      <c r="E134" t="s">
        <v>491</v>
      </c>
      <c r="F134">
        <v>90</v>
      </c>
      <c r="G134">
        <v>0</v>
      </c>
      <c r="H134" t="s">
        <v>792</v>
      </c>
    </row>
    <row r="135" spans="1:8">
      <c r="A135">
        <v>133</v>
      </c>
      <c r="B135" t="s">
        <v>928</v>
      </c>
      <c r="C135" t="s">
        <v>195</v>
      </c>
      <c r="D135" t="s">
        <v>32</v>
      </c>
      <c r="E135" t="s">
        <v>347</v>
      </c>
      <c r="F135">
        <v>105</v>
      </c>
      <c r="G135">
        <v>104</v>
      </c>
      <c r="H135" t="s">
        <v>794</v>
      </c>
    </row>
    <row r="136" spans="1:8">
      <c r="A136">
        <v>134</v>
      </c>
      <c r="B136" t="s">
        <v>929</v>
      </c>
      <c r="C136" t="s">
        <v>33</v>
      </c>
      <c r="D136" t="s">
        <v>321</v>
      </c>
      <c r="E136" t="s">
        <v>359</v>
      </c>
      <c r="F136">
        <v>0</v>
      </c>
      <c r="G136">
        <v>0</v>
      </c>
      <c r="H136" t="s">
        <v>792</v>
      </c>
    </row>
    <row r="137" spans="1:8">
      <c r="A137">
        <v>135</v>
      </c>
      <c r="B137" t="s">
        <v>930</v>
      </c>
      <c r="C137" t="s">
        <v>276</v>
      </c>
      <c r="D137" t="s">
        <v>32</v>
      </c>
      <c r="E137" t="s">
        <v>366</v>
      </c>
      <c r="F137">
        <v>85</v>
      </c>
      <c r="G137">
        <v>88.65</v>
      </c>
      <c r="H137" t="s">
        <v>794</v>
      </c>
    </row>
    <row r="138" spans="1:8">
      <c r="A138">
        <v>136</v>
      </c>
      <c r="B138" t="s">
        <v>931</v>
      </c>
      <c r="C138" t="s">
        <v>278</v>
      </c>
      <c r="D138" t="s">
        <v>32</v>
      </c>
      <c r="E138" t="s">
        <v>366</v>
      </c>
      <c r="F138">
        <v>90</v>
      </c>
      <c r="G138">
        <v>94.15</v>
      </c>
      <c r="H138" t="s">
        <v>794</v>
      </c>
    </row>
    <row r="139" spans="1:8">
      <c r="A139">
        <v>137</v>
      </c>
      <c r="B139" t="s">
        <v>932</v>
      </c>
      <c r="C139" t="s">
        <v>133</v>
      </c>
      <c r="D139" t="s">
        <v>32</v>
      </c>
      <c r="E139" t="s">
        <v>330</v>
      </c>
      <c r="F139">
        <v>110</v>
      </c>
      <c r="G139">
        <v>104</v>
      </c>
      <c r="H139" t="s">
        <v>794</v>
      </c>
    </row>
    <row r="140" spans="1:8">
      <c r="A140">
        <v>138</v>
      </c>
      <c r="B140" t="s">
        <v>933</v>
      </c>
      <c r="C140" t="s">
        <v>35</v>
      </c>
      <c r="D140" t="s">
        <v>321</v>
      </c>
      <c r="E140" t="s">
        <v>354</v>
      </c>
      <c r="F140">
        <v>84</v>
      </c>
      <c r="G140">
        <v>86.5</v>
      </c>
      <c r="H140" t="s">
        <v>792</v>
      </c>
    </row>
    <row r="141" spans="1:8">
      <c r="A141">
        <v>139</v>
      </c>
      <c r="B141" t="s">
        <v>934</v>
      </c>
      <c r="C141" t="s">
        <v>36</v>
      </c>
      <c r="D141" t="s">
        <v>320</v>
      </c>
      <c r="E141" t="s">
        <v>354</v>
      </c>
      <c r="F141">
        <v>84</v>
      </c>
      <c r="G141">
        <v>86.5</v>
      </c>
      <c r="H141" t="s">
        <v>792</v>
      </c>
    </row>
    <row r="142" spans="1:8">
      <c r="A142">
        <v>140</v>
      </c>
      <c r="B142" t="s">
        <v>935</v>
      </c>
      <c r="C142" t="s">
        <v>586</v>
      </c>
      <c r="D142" t="s">
        <v>34</v>
      </c>
      <c r="E142" t="s">
        <v>491</v>
      </c>
      <c r="F142">
        <v>85</v>
      </c>
      <c r="G142">
        <v>0</v>
      </c>
      <c r="H142" t="s">
        <v>792</v>
      </c>
    </row>
    <row r="143" spans="1:8">
      <c r="A143">
        <v>141</v>
      </c>
      <c r="B143" t="s">
        <v>936</v>
      </c>
      <c r="C143" t="s">
        <v>587</v>
      </c>
      <c r="D143" t="s">
        <v>34</v>
      </c>
      <c r="E143" t="s">
        <v>491</v>
      </c>
      <c r="F143">
        <v>0</v>
      </c>
      <c r="G143">
        <v>0</v>
      </c>
      <c r="H143" t="s">
        <v>794</v>
      </c>
    </row>
    <row r="144" spans="1:8">
      <c r="A144">
        <v>142</v>
      </c>
      <c r="B144" t="s">
        <v>937</v>
      </c>
      <c r="C144" t="s">
        <v>588</v>
      </c>
      <c r="D144" t="s">
        <v>34</v>
      </c>
      <c r="E144" t="s">
        <v>491</v>
      </c>
      <c r="F144">
        <v>0</v>
      </c>
      <c r="G144">
        <v>0</v>
      </c>
      <c r="H144" t="s">
        <v>794</v>
      </c>
    </row>
    <row r="145" spans="1:8">
      <c r="A145">
        <v>143</v>
      </c>
      <c r="B145" t="s">
        <v>938</v>
      </c>
      <c r="C145" t="s">
        <v>177</v>
      </c>
      <c r="D145" t="s">
        <v>34</v>
      </c>
      <c r="E145" t="s">
        <v>341</v>
      </c>
      <c r="F145">
        <v>105</v>
      </c>
      <c r="G145">
        <v>94</v>
      </c>
      <c r="H145" t="s">
        <v>794</v>
      </c>
    </row>
    <row r="146" spans="1:8">
      <c r="A146">
        <v>144</v>
      </c>
      <c r="B146" t="s">
        <v>939</v>
      </c>
      <c r="C146" t="s">
        <v>589</v>
      </c>
      <c r="D146" t="s">
        <v>590</v>
      </c>
      <c r="E146" t="s">
        <v>524</v>
      </c>
      <c r="F146">
        <v>100</v>
      </c>
      <c r="G146">
        <v>0</v>
      </c>
      <c r="H146" t="s">
        <v>794</v>
      </c>
    </row>
    <row r="147" spans="1:8">
      <c r="A147">
        <v>145</v>
      </c>
      <c r="B147" t="s">
        <v>940</v>
      </c>
      <c r="C147" t="s">
        <v>591</v>
      </c>
      <c r="D147" t="s">
        <v>34</v>
      </c>
      <c r="E147" t="s">
        <v>491</v>
      </c>
      <c r="F147">
        <v>82.5</v>
      </c>
      <c r="G147">
        <v>0</v>
      </c>
      <c r="H147" t="s">
        <v>792</v>
      </c>
    </row>
    <row r="148" spans="1:8">
      <c r="A148">
        <v>146</v>
      </c>
      <c r="B148" t="s">
        <v>941</v>
      </c>
      <c r="C148" t="s">
        <v>124</v>
      </c>
      <c r="D148" t="s">
        <v>34</v>
      </c>
      <c r="E148" t="s">
        <v>942</v>
      </c>
      <c r="F148">
        <v>95</v>
      </c>
      <c r="G148">
        <v>93</v>
      </c>
      <c r="H148" t="s">
        <v>794</v>
      </c>
    </row>
    <row r="149" spans="1:8">
      <c r="A149">
        <v>147</v>
      </c>
      <c r="B149" t="s">
        <v>943</v>
      </c>
      <c r="C149" t="s">
        <v>944</v>
      </c>
      <c r="D149" t="s">
        <v>34</v>
      </c>
      <c r="E149" t="s">
        <v>491</v>
      </c>
      <c r="F149">
        <v>0</v>
      </c>
      <c r="G149">
        <v>0</v>
      </c>
      <c r="H149" t="s">
        <v>794</v>
      </c>
    </row>
    <row r="150" spans="1:8">
      <c r="A150">
        <v>148</v>
      </c>
      <c r="B150" t="s">
        <v>945</v>
      </c>
      <c r="C150" t="s">
        <v>123</v>
      </c>
      <c r="D150" t="s">
        <v>34</v>
      </c>
      <c r="E150" t="s">
        <v>942</v>
      </c>
      <c r="F150">
        <v>95</v>
      </c>
      <c r="G150">
        <v>93</v>
      </c>
      <c r="H150" t="s">
        <v>794</v>
      </c>
    </row>
    <row r="151" spans="1:8">
      <c r="A151">
        <v>149</v>
      </c>
      <c r="B151" t="s">
        <v>946</v>
      </c>
      <c r="C151" t="s">
        <v>947</v>
      </c>
      <c r="D151" t="s">
        <v>34</v>
      </c>
      <c r="E151" t="s">
        <v>491</v>
      </c>
      <c r="F151">
        <v>85</v>
      </c>
      <c r="G151">
        <v>0</v>
      </c>
      <c r="H151" t="s">
        <v>792</v>
      </c>
    </row>
    <row r="152" spans="1:8">
      <c r="A152">
        <v>150</v>
      </c>
      <c r="B152" t="s">
        <v>948</v>
      </c>
      <c r="C152" t="s">
        <v>949</v>
      </c>
      <c r="D152" t="s">
        <v>34</v>
      </c>
      <c r="E152" t="s">
        <v>341</v>
      </c>
      <c r="F152">
        <v>195</v>
      </c>
      <c r="G152">
        <v>0</v>
      </c>
      <c r="H152" t="s">
        <v>794</v>
      </c>
    </row>
    <row r="153" spans="1:8">
      <c r="A153">
        <v>151</v>
      </c>
      <c r="B153" t="s">
        <v>950</v>
      </c>
      <c r="C153" t="s">
        <v>951</v>
      </c>
      <c r="D153" t="s">
        <v>34</v>
      </c>
      <c r="E153" t="s">
        <v>491</v>
      </c>
      <c r="F153">
        <v>85</v>
      </c>
      <c r="G153">
        <v>0</v>
      </c>
      <c r="H153" t="s">
        <v>792</v>
      </c>
    </row>
    <row r="154" spans="1:8">
      <c r="A154">
        <v>152</v>
      </c>
      <c r="B154" t="s">
        <v>952</v>
      </c>
      <c r="C154" t="s">
        <v>156</v>
      </c>
      <c r="D154" t="s">
        <v>50</v>
      </c>
      <c r="E154" t="s">
        <v>336</v>
      </c>
      <c r="F154">
        <v>75</v>
      </c>
      <c r="G154">
        <v>67.5</v>
      </c>
      <c r="H154" t="s">
        <v>794</v>
      </c>
    </row>
    <row r="155" spans="1:8">
      <c r="A155">
        <v>153</v>
      </c>
      <c r="B155" t="s">
        <v>953</v>
      </c>
      <c r="C155" t="s">
        <v>202</v>
      </c>
      <c r="D155" t="s">
        <v>50</v>
      </c>
      <c r="E155" t="s">
        <v>349</v>
      </c>
      <c r="F155">
        <v>70</v>
      </c>
      <c r="G155">
        <v>70</v>
      </c>
      <c r="H155" t="s">
        <v>794</v>
      </c>
    </row>
    <row r="156" spans="1:8">
      <c r="A156">
        <v>154</v>
      </c>
      <c r="B156" t="s">
        <v>954</v>
      </c>
      <c r="C156" t="s">
        <v>592</v>
      </c>
      <c r="D156" t="s">
        <v>50</v>
      </c>
      <c r="E156" t="s">
        <v>593</v>
      </c>
      <c r="F156">
        <v>72</v>
      </c>
      <c r="G156">
        <v>0</v>
      </c>
      <c r="H156" t="s">
        <v>792</v>
      </c>
    </row>
    <row r="157" spans="1:8">
      <c r="A157">
        <v>155</v>
      </c>
      <c r="B157" t="s">
        <v>955</v>
      </c>
      <c r="C157" t="s">
        <v>594</v>
      </c>
      <c r="D157" t="s">
        <v>50</v>
      </c>
      <c r="E157" t="s">
        <v>595</v>
      </c>
      <c r="F157">
        <v>45</v>
      </c>
      <c r="G157">
        <v>0</v>
      </c>
      <c r="H157" t="s">
        <v>794</v>
      </c>
    </row>
    <row r="158" spans="1:8">
      <c r="A158">
        <v>156</v>
      </c>
      <c r="B158" t="s">
        <v>956</v>
      </c>
      <c r="C158" t="s">
        <v>155</v>
      </c>
      <c r="D158" t="s">
        <v>50</v>
      </c>
      <c r="E158" t="s">
        <v>336</v>
      </c>
      <c r="F158">
        <v>75</v>
      </c>
      <c r="G158">
        <v>67.5</v>
      </c>
      <c r="H158" t="s">
        <v>794</v>
      </c>
    </row>
    <row r="159" spans="1:8">
      <c r="A159">
        <v>157</v>
      </c>
      <c r="B159" t="s">
        <v>957</v>
      </c>
      <c r="C159" t="s">
        <v>596</v>
      </c>
      <c r="D159" t="s">
        <v>50</v>
      </c>
      <c r="E159" t="s">
        <v>358</v>
      </c>
      <c r="F159">
        <v>89</v>
      </c>
      <c r="G159">
        <v>92</v>
      </c>
      <c r="H159" t="s">
        <v>792</v>
      </c>
    </row>
    <row r="160" spans="1:8">
      <c r="A160">
        <v>158</v>
      </c>
      <c r="B160" t="s">
        <v>958</v>
      </c>
      <c r="C160" t="s">
        <v>597</v>
      </c>
      <c r="D160" t="s">
        <v>50</v>
      </c>
      <c r="E160" t="s">
        <v>593</v>
      </c>
      <c r="F160">
        <v>80</v>
      </c>
      <c r="G160">
        <v>0</v>
      </c>
      <c r="H160" t="s">
        <v>792</v>
      </c>
    </row>
    <row r="161" spans="1:8">
      <c r="A161">
        <v>159</v>
      </c>
      <c r="B161" t="s">
        <v>959</v>
      </c>
      <c r="C161" t="s">
        <v>200</v>
      </c>
      <c r="D161" t="s">
        <v>50</v>
      </c>
      <c r="E161" t="s">
        <v>349</v>
      </c>
      <c r="F161">
        <v>67.5</v>
      </c>
      <c r="G161">
        <v>67.5</v>
      </c>
      <c r="H161" t="s">
        <v>794</v>
      </c>
    </row>
    <row r="162" spans="1:8">
      <c r="A162">
        <v>160</v>
      </c>
      <c r="B162" t="s">
        <v>960</v>
      </c>
      <c r="C162" t="s">
        <v>97</v>
      </c>
      <c r="D162" t="s">
        <v>50</v>
      </c>
      <c r="E162" t="s">
        <v>358</v>
      </c>
      <c r="F162">
        <v>82</v>
      </c>
      <c r="G162">
        <v>84</v>
      </c>
      <c r="H162" t="s">
        <v>792</v>
      </c>
    </row>
    <row r="163" spans="1:8">
      <c r="A163">
        <v>161</v>
      </c>
      <c r="B163" t="s">
        <v>961</v>
      </c>
      <c r="C163" t="s">
        <v>598</v>
      </c>
      <c r="D163" t="s">
        <v>50</v>
      </c>
      <c r="E163" t="s">
        <v>593</v>
      </c>
      <c r="F163">
        <v>77</v>
      </c>
      <c r="G163">
        <v>0</v>
      </c>
      <c r="H163" t="s">
        <v>792</v>
      </c>
    </row>
    <row r="164" spans="1:8">
      <c r="A164">
        <v>162</v>
      </c>
      <c r="B164" t="s">
        <v>962</v>
      </c>
      <c r="C164" t="s">
        <v>599</v>
      </c>
      <c r="D164" t="s">
        <v>50</v>
      </c>
      <c r="E164" t="s">
        <v>600</v>
      </c>
      <c r="F164">
        <v>85</v>
      </c>
      <c r="G164">
        <v>0</v>
      </c>
      <c r="H164" t="s">
        <v>794</v>
      </c>
    </row>
    <row r="165" spans="1:8">
      <c r="A165">
        <v>163</v>
      </c>
      <c r="B165" t="s">
        <v>963</v>
      </c>
      <c r="C165" t="s">
        <v>96</v>
      </c>
      <c r="D165" t="s">
        <v>50</v>
      </c>
      <c r="E165" t="s">
        <v>358</v>
      </c>
      <c r="F165">
        <v>71</v>
      </c>
      <c r="G165">
        <v>73.5</v>
      </c>
      <c r="H165" t="s">
        <v>792</v>
      </c>
    </row>
    <row r="166" spans="1:8">
      <c r="A166">
        <v>164</v>
      </c>
      <c r="B166" t="s">
        <v>964</v>
      </c>
      <c r="C166" t="s">
        <v>55</v>
      </c>
      <c r="D166" t="s">
        <v>50</v>
      </c>
      <c r="E166" t="s">
        <v>358</v>
      </c>
      <c r="F166">
        <v>81</v>
      </c>
      <c r="G166">
        <v>77</v>
      </c>
      <c r="H166" t="s">
        <v>794</v>
      </c>
    </row>
    <row r="167" spans="1:8">
      <c r="A167">
        <v>165</v>
      </c>
      <c r="B167" t="s">
        <v>965</v>
      </c>
      <c r="C167" t="s">
        <v>966</v>
      </c>
      <c r="D167" t="s">
        <v>50</v>
      </c>
      <c r="E167" t="s">
        <v>967</v>
      </c>
      <c r="F167">
        <v>85</v>
      </c>
      <c r="G167">
        <v>0</v>
      </c>
      <c r="H167" t="s">
        <v>794</v>
      </c>
    </row>
    <row r="168" spans="1:8">
      <c r="A168">
        <v>166</v>
      </c>
      <c r="B168" t="s">
        <v>968</v>
      </c>
      <c r="C168" t="s">
        <v>969</v>
      </c>
      <c r="D168" t="s">
        <v>50</v>
      </c>
      <c r="E168" t="s">
        <v>593</v>
      </c>
      <c r="F168">
        <v>0</v>
      </c>
      <c r="G168">
        <v>0</v>
      </c>
      <c r="H168" t="s">
        <v>794</v>
      </c>
    </row>
    <row r="169" spans="1:8">
      <c r="A169">
        <v>167</v>
      </c>
      <c r="B169" t="s">
        <v>970</v>
      </c>
      <c r="C169" t="s">
        <v>54</v>
      </c>
      <c r="D169" t="s">
        <v>50</v>
      </c>
      <c r="E169" t="s">
        <v>358</v>
      </c>
      <c r="F169">
        <v>82</v>
      </c>
      <c r="G169">
        <v>83</v>
      </c>
      <c r="H169" t="s">
        <v>792</v>
      </c>
    </row>
    <row r="170" spans="1:8">
      <c r="A170">
        <v>168</v>
      </c>
      <c r="B170" t="s">
        <v>971</v>
      </c>
      <c r="C170" t="s">
        <v>51</v>
      </c>
      <c r="D170" t="s">
        <v>50</v>
      </c>
      <c r="E170" t="s">
        <v>358</v>
      </c>
      <c r="F170">
        <v>73.05</v>
      </c>
      <c r="G170">
        <v>75.05</v>
      </c>
      <c r="H170" t="s">
        <v>792</v>
      </c>
    </row>
    <row r="171" spans="1:8">
      <c r="A171">
        <v>169</v>
      </c>
      <c r="B171" t="s">
        <v>972</v>
      </c>
      <c r="C171" t="s">
        <v>53</v>
      </c>
      <c r="D171" t="s">
        <v>50</v>
      </c>
      <c r="E171" t="s">
        <v>358</v>
      </c>
      <c r="F171">
        <v>83.8</v>
      </c>
      <c r="G171">
        <v>84.3</v>
      </c>
      <c r="H171" t="s">
        <v>792</v>
      </c>
    </row>
    <row r="172" spans="1:8">
      <c r="A172">
        <v>170</v>
      </c>
      <c r="B172" t="s">
        <v>973</v>
      </c>
      <c r="C172" t="s">
        <v>974</v>
      </c>
      <c r="D172" t="s">
        <v>50</v>
      </c>
      <c r="E172" t="s">
        <v>600</v>
      </c>
      <c r="F172">
        <v>60</v>
      </c>
      <c r="G172">
        <v>0</v>
      </c>
      <c r="H172" t="s">
        <v>794</v>
      </c>
    </row>
    <row r="173" spans="1:8">
      <c r="A173">
        <v>171</v>
      </c>
      <c r="B173" t="s">
        <v>975</v>
      </c>
      <c r="C173" t="s">
        <v>976</v>
      </c>
      <c r="D173" t="s">
        <v>50</v>
      </c>
      <c r="E173" t="s">
        <v>593</v>
      </c>
      <c r="F173">
        <v>77</v>
      </c>
      <c r="G173">
        <v>0</v>
      </c>
      <c r="H173" t="s">
        <v>792</v>
      </c>
    </row>
    <row r="174" spans="1:8">
      <c r="A174">
        <v>172</v>
      </c>
      <c r="B174" t="s">
        <v>977</v>
      </c>
      <c r="C174" t="s">
        <v>240</v>
      </c>
      <c r="D174" t="s">
        <v>50</v>
      </c>
      <c r="E174" t="s">
        <v>358</v>
      </c>
      <c r="F174">
        <v>86</v>
      </c>
      <c r="G174">
        <v>80</v>
      </c>
      <c r="H174" t="s">
        <v>794</v>
      </c>
    </row>
    <row r="175" spans="1:8">
      <c r="A175">
        <v>173</v>
      </c>
      <c r="B175" t="s">
        <v>978</v>
      </c>
      <c r="C175" t="s">
        <v>979</v>
      </c>
      <c r="D175" t="s">
        <v>50</v>
      </c>
      <c r="E175" t="s">
        <v>601</v>
      </c>
      <c r="F175">
        <v>85</v>
      </c>
      <c r="G175">
        <v>0</v>
      </c>
      <c r="H175" t="s">
        <v>792</v>
      </c>
    </row>
    <row r="176" spans="1:8">
      <c r="A176">
        <v>174</v>
      </c>
      <c r="B176" t="s">
        <v>980</v>
      </c>
      <c r="C176" t="s">
        <v>199</v>
      </c>
      <c r="D176" t="s">
        <v>50</v>
      </c>
      <c r="E176" t="s">
        <v>349</v>
      </c>
      <c r="F176">
        <v>70</v>
      </c>
      <c r="G176">
        <v>70</v>
      </c>
      <c r="H176" t="s">
        <v>794</v>
      </c>
    </row>
    <row r="177" spans="1:8">
      <c r="A177">
        <v>175</v>
      </c>
      <c r="B177" t="s">
        <v>981</v>
      </c>
      <c r="C177" t="s">
        <v>201</v>
      </c>
      <c r="D177" t="s">
        <v>50</v>
      </c>
      <c r="E177" t="s">
        <v>349</v>
      </c>
      <c r="F177">
        <v>70</v>
      </c>
      <c r="G177">
        <v>70</v>
      </c>
      <c r="H177" t="s">
        <v>794</v>
      </c>
    </row>
    <row r="178" spans="1:8">
      <c r="A178">
        <v>176</v>
      </c>
      <c r="B178" t="s">
        <v>982</v>
      </c>
      <c r="C178" t="s">
        <v>983</v>
      </c>
      <c r="D178" t="s">
        <v>50</v>
      </c>
      <c r="E178" t="s">
        <v>602</v>
      </c>
      <c r="F178">
        <v>0</v>
      </c>
      <c r="G178">
        <v>0</v>
      </c>
      <c r="H178" t="s">
        <v>792</v>
      </c>
    </row>
    <row r="179" spans="1:8">
      <c r="A179">
        <v>177</v>
      </c>
      <c r="B179" t="s">
        <v>984</v>
      </c>
      <c r="C179" t="s">
        <v>203</v>
      </c>
      <c r="D179" t="s">
        <v>50</v>
      </c>
      <c r="E179" t="s">
        <v>349</v>
      </c>
      <c r="F179">
        <v>70</v>
      </c>
      <c r="G179">
        <v>70</v>
      </c>
      <c r="H179" t="s">
        <v>794</v>
      </c>
    </row>
    <row r="180" spans="1:8">
      <c r="A180">
        <v>178</v>
      </c>
      <c r="B180" t="s">
        <v>985</v>
      </c>
      <c r="C180" t="s">
        <v>986</v>
      </c>
      <c r="D180" t="s">
        <v>50</v>
      </c>
      <c r="E180" t="s">
        <v>593</v>
      </c>
      <c r="F180">
        <v>80</v>
      </c>
      <c r="G180">
        <v>0</v>
      </c>
      <c r="H180" t="s">
        <v>792</v>
      </c>
    </row>
    <row r="181" spans="1:8">
      <c r="A181">
        <v>179</v>
      </c>
      <c r="B181" t="s">
        <v>987</v>
      </c>
      <c r="C181" t="s">
        <v>52</v>
      </c>
      <c r="D181" t="s">
        <v>50</v>
      </c>
      <c r="E181" t="s">
        <v>358</v>
      </c>
      <c r="F181">
        <v>75.2</v>
      </c>
      <c r="G181">
        <v>70.5</v>
      </c>
      <c r="H181" t="s">
        <v>792</v>
      </c>
    </row>
    <row r="182" spans="1:8">
      <c r="A182">
        <v>180</v>
      </c>
      <c r="B182" t="s">
        <v>988</v>
      </c>
      <c r="C182" t="s">
        <v>204</v>
      </c>
      <c r="D182" t="s">
        <v>50</v>
      </c>
      <c r="E182" t="s">
        <v>349</v>
      </c>
      <c r="F182">
        <v>70</v>
      </c>
      <c r="G182">
        <v>70</v>
      </c>
      <c r="H182" t="s">
        <v>794</v>
      </c>
    </row>
    <row r="183" spans="1:8">
      <c r="A183">
        <v>181</v>
      </c>
      <c r="B183" t="s">
        <v>989</v>
      </c>
      <c r="C183" t="s">
        <v>56</v>
      </c>
      <c r="D183" t="s">
        <v>50</v>
      </c>
      <c r="E183" t="s">
        <v>363</v>
      </c>
      <c r="F183">
        <v>81.55</v>
      </c>
      <c r="G183">
        <v>84.95</v>
      </c>
      <c r="H183" t="s">
        <v>792</v>
      </c>
    </row>
    <row r="184" spans="1:8">
      <c r="A184">
        <v>182</v>
      </c>
      <c r="B184" t="s">
        <v>990</v>
      </c>
      <c r="C184" t="s">
        <v>991</v>
      </c>
      <c r="D184" t="s">
        <v>50</v>
      </c>
      <c r="E184" t="s">
        <v>593</v>
      </c>
      <c r="F184">
        <v>80</v>
      </c>
      <c r="G184">
        <v>0</v>
      </c>
      <c r="H184" t="s">
        <v>794</v>
      </c>
    </row>
    <row r="185" spans="1:8">
      <c r="A185">
        <v>183</v>
      </c>
      <c r="B185" t="s">
        <v>992</v>
      </c>
      <c r="C185" t="s">
        <v>257</v>
      </c>
      <c r="D185" t="s">
        <v>50</v>
      </c>
      <c r="E185" t="s">
        <v>361</v>
      </c>
      <c r="F185">
        <v>75</v>
      </c>
      <c r="G185">
        <v>85</v>
      </c>
      <c r="H185" t="s">
        <v>794</v>
      </c>
    </row>
    <row r="186" spans="1:8">
      <c r="A186">
        <v>184</v>
      </c>
      <c r="B186" t="s">
        <v>993</v>
      </c>
      <c r="C186" t="s">
        <v>994</v>
      </c>
      <c r="D186" t="s">
        <v>50</v>
      </c>
      <c r="E186" t="s">
        <v>995</v>
      </c>
      <c r="F186">
        <v>54.75</v>
      </c>
      <c r="G186">
        <v>0</v>
      </c>
      <c r="H186" t="s">
        <v>792</v>
      </c>
    </row>
    <row r="187" spans="1:8">
      <c r="A187">
        <v>185</v>
      </c>
      <c r="B187" t="s">
        <v>996</v>
      </c>
      <c r="C187" t="s">
        <v>136</v>
      </c>
      <c r="D187" t="s">
        <v>50</v>
      </c>
      <c r="E187" t="s">
        <v>331</v>
      </c>
      <c r="F187">
        <v>72.5</v>
      </c>
      <c r="G187">
        <v>71.900000000000006</v>
      </c>
      <c r="H187" t="s">
        <v>794</v>
      </c>
    </row>
    <row r="188" spans="1:8">
      <c r="A188">
        <v>186</v>
      </c>
      <c r="B188" t="s">
        <v>997</v>
      </c>
      <c r="C188" t="s">
        <v>259</v>
      </c>
      <c r="D188" t="s">
        <v>50</v>
      </c>
      <c r="E188" t="s">
        <v>361</v>
      </c>
      <c r="F188">
        <v>80</v>
      </c>
      <c r="G188">
        <v>88</v>
      </c>
      <c r="H188" t="s">
        <v>794</v>
      </c>
    </row>
    <row r="189" spans="1:8">
      <c r="A189">
        <v>187</v>
      </c>
      <c r="B189" t="s">
        <v>998</v>
      </c>
      <c r="C189" t="s">
        <v>999</v>
      </c>
      <c r="D189" t="s">
        <v>50</v>
      </c>
      <c r="E189" t="s">
        <v>995</v>
      </c>
      <c r="F189">
        <v>53.95</v>
      </c>
      <c r="G189">
        <v>0</v>
      </c>
      <c r="H189" t="s">
        <v>792</v>
      </c>
    </row>
    <row r="190" spans="1:8">
      <c r="A190">
        <v>188</v>
      </c>
      <c r="B190" t="s">
        <v>1000</v>
      </c>
      <c r="C190" t="s">
        <v>159</v>
      </c>
      <c r="D190" t="s">
        <v>50</v>
      </c>
      <c r="E190" t="s">
        <v>336</v>
      </c>
      <c r="F190">
        <v>70</v>
      </c>
      <c r="G190">
        <v>58.4</v>
      </c>
      <c r="H190" t="s">
        <v>794</v>
      </c>
    </row>
    <row r="191" spans="1:8">
      <c r="A191">
        <v>189</v>
      </c>
      <c r="B191" t="s">
        <v>1001</v>
      </c>
      <c r="C191" t="s">
        <v>166</v>
      </c>
      <c r="D191" t="s">
        <v>50</v>
      </c>
      <c r="E191" t="s">
        <v>338</v>
      </c>
      <c r="F191">
        <v>85</v>
      </c>
      <c r="G191">
        <v>74</v>
      </c>
      <c r="H191" t="s">
        <v>794</v>
      </c>
    </row>
    <row r="192" spans="1:8">
      <c r="A192">
        <v>190</v>
      </c>
      <c r="B192" t="s">
        <v>1002</v>
      </c>
      <c r="C192" t="s">
        <v>164</v>
      </c>
      <c r="D192" t="s">
        <v>50</v>
      </c>
      <c r="E192" t="s">
        <v>337</v>
      </c>
      <c r="F192">
        <v>70</v>
      </c>
      <c r="G192">
        <v>60</v>
      </c>
      <c r="H192" t="s">
        <v>794</v>
      </c>
    </row>
    <row r="193" spans="1:8">
      <c r="A193">
        <v>191</v>
      </c>
      <c r="B193" t="s">
        <v>1003</v>
      </c>
      <c r="C193" t="s">
        <v>258</v>
      </c>
      <c r="D193" t="s">
        <v>50</v>
      </c>
      <c r="E193" t="s">
        <v>361</v>
      </c>
      <c r="F193">
        <v>67</v>
      </c>
      <c r="G193">
        <v>77</v>
      </c>
      <c r="H193" t="s">
        <v>794</v>
      </c>
    </row>
    <row r="194" spans="1:8">
      <c r="A194">
        <v>192</v>
      </c>
      <c r="B194" t="s">
        <v>1004</v>
      </c>
      <c r="C194" t="s">
        <v>162</v>
      </c>
      <c r="D194" t="s">
        <v>50</v>
      </c>
      <c r="E194" t="s">
        <v>337</v>
      </c>
      <c r="F194">
        <v>75</v>
      </c>
      <c r="G194">
        <v>60</v>
      </c>
      <c r="H194" t="s">
        <v>794</v>
      </c>
    </row>
    <row r="195" spans="1:8">
      <c r="A195">
        <v>193</v>
      </c>
      <c r="B195" t="s">
        <v>1005</v>
      </c>
      <c r="C195" t="s">
        <v>163</v>
      </c>
      <c r="D195" t="s">
        <v>50</v>
      </c>
      <c r="E195" t="s">
        <v>337</v>
      </c>
      <c r="F195">
        <v>75</v>
      </c>
      <c r="G195">
        <v>69</v>
      </c>
      <c r="H195" t="s">
        <v>794</v>
      </c>
    </row>
    <row r="196" spans="1:8">
      <c r="A196">
        <v>194</v>
      </c>
      <c r="B196" t="s">
        <v>1006</v>
      </c>
      <c r="C196" t="s">
        <v>1007</v>
      </c>
      <c r="D196" t="s">
        <v>50</v>
      </c>
      <c r="E196" t="s">
        <v>601</v>
      </c>
      <c r="F196">
        <v>65</v>
      </c>
      <c r="G196">
        <v>0</v>
      </c>
      <c r="H196" t="s">
        <v>792</v>
      </c>
    </row>
    <row r="197" spans="1:8">
      <c r="A197">
        <v>195</v>
      </c>
      <c r="B197" t="s">
        <v>1008</v>
      </c>
      <c r="C197" t="s">
        <v>99</v>
      </c>
      <c r="D197" t="s">
        <v>50</v>
      </c>
      <c r="E197" t="s">
        <v>358</v>
      </c>
      <c r="F197">
        <v>70</v>
      </c>
      <c r="G197">
        <v>72</v>
      </c>
      <c r="H197" t="s">
        <v>792</v>
      </c>
    </row>
    <row r="198" spans="1:8">
      <c r="A198">
        <v>196</v>
      </c>
      <c r="B198" t="s">
        <v>1009</v>
      </c>
      <c r="C198" t="s">
        <v>1010</v>
      </c>
      <c r="D198" t="s">
        <v>50</v>
      </c>
      <c r="E198" t="s">
        <v>995</v>
      </c>
      <c r="F198">
        <v>58.95</v>
      </c>
      <c r="G198">
        <v>0</v>
      </c>
      <c r="H198" t="s">
        <v>792</v>
      </c>
    </row>
    <row r="199" spans="1:8">
      <c r="A199">
        <v>197</v>
      </c>
      <c r="B199" t="s">
        <v>1011</v>
      </c>
      <c r="C199" t="s">
        <v>263</v>
      </c>
      <c r="D199" t="s">
        <v>50</v>
      </c>
      <c r="E199" t="s">
        <v>363</v>
      </c>
      <c r="F199">
        <v>82</v>
      </c>
      <c r="G199">
        <v>81</v>
      </c>
      <c r="H199" t="s">
        <v>794</v>
      </c>
    </row>
    <row r="200" spans="1:8">
      <c r="A200">
        <v>198</v>
      </c>
      <c r="B200" t="s">
        <v>1012</v>
      </c>
      <c r="C200" t="s">
        <v>1013</v>
      </c>
      <c r="D200" t="s">
        <v>50</v>
      </c>
      <c r="E200" t="s">
        <v>1014</v>
      </c>
      <c r="F200">
        <v>0</v>
      </c>
      <c r="G200">
        <v>0</v>
      </c>
      <c r="H200" t="s">
        <v>794</v>
      </c>
    </row>
    <row r="201" spans="1:8">
      <c r="A201">
        <v>199</v>
      </c>
      <c r="B201" t="s">
        <v>1015</v>
      </c>
      <c r="C201" t="s">
        <v>239</v>
      </c>
      <c r="D201" t="s">
        <v>50</v>
      </c>
      <c r="E201" t="s">
        <v>358</v>
      </c>
      <c r="F201">
        <v>65</v>
      </c>
      <c r="G201">
        <v>59.5</v>
      </c>
      <c r="H201" t="s">
        <v>794</v>
      </c>
    </row>
    <row r="202" spans="1:8">
      <c r="A202">
        <v>200</v>
      </c>
      <c r="B202" t="s">
        <v>1016</v>
      </c>
      <c r="C202" t="s">
        <v>153</v>
      </c>
      <c r="D202" t="s">
        <v>50</v>
      </c>
      <c r="E202" t="s">
        <v>336</v>
      </c>
      <c r="F202">
        <v>75</v>
      </c>
      <c r="G202">
        <v>50.9</v>
      </c>
      <c r="H202" t="s">
        <v>794</v>
      </c>
    </row>
    <row r="203" spans="1:8">
      <c r="A203">
        <v>201</v>
      </c>
      <c r="B203" t="s">
        <v>1017</v>
      </c>
      <c r="C203" t="s">
        <v>1018</v>
      </c>
      <c r="D203" t="s">
        <v>59</v>
      </c>
      <c r="E203" t="s">
        <v>1019</v>
      </c>
      <c r="F203">
        <v>56</v>
      </c>
      <c r="G203">
        <v>0</v>
      </c>
      <c r="H203" t="s">
        <v>792</v>
      </c>
    </row>
    <row r="204" spans="1:8">
      <c r="A204">
        <v>202</v>
      </c>
      <c r="B204" t="s">
        <v>1020</v>
      </c>
      <c r="C204" t="s">
        <v>1021</v>
      </c>
      <c r="D204" t="s">
        <v>50</v>
      </c>
      <c r="E204" t="s">
        <v>1022</v>
      </c>
      <c r="F204">
        <v>37.35</v>
      </c>
      <c r="G204">
        <v>0</v>
      </c>
      <c r="H204" t="s">
        <v>792</v>
      </c>
    </row>
    <row r="205" spans="1:8">
      <c r="A205">
        <v>203</v>
      </c>
      <c r="B205" t="s">
        <v>1023</v>
      </c>
      <c r="C205" t="s">
        <v>192</v>
      </c>
      <c r="D205" t="s">
        <v>50</v>
      </c>
      <c r="E205" t="s">
        <v>346</v>
      </c>
      <c r="F205">
        <v>40</v>
      </c>
      <c r="G205">
        <v>44</v>
      </c>
      <c r="H205" t="s">
        <v>794</v>
      </c>
    </row>
    <row r="206" spans="1:8">
      <c r="A206">
        <v>204</v>
      </c>
      <c r="B206" t="s">
        <v>1024</v>
      </c>
      <c r="C206" t="s">
        <v>1025</v>
      </c>
      <c r="D206" t="s">
        <v>50</v>
      </c>
      <c r="E206" t="s">
        <v>595</v>
      </c>
      <c r="F206">
        <v>20</v>
      </c>
      <c r="G206">
        <v>0</v>
      </c>
      <c r="H206" t="s">
        <v>794</v>
      </c>
    </row>
    <row r="207" spans="1:8">
      <c r="A207">
        <v>205</v>
      </c>
      <c r="B207" t="s">
        <v>1026</v>
      </c>
      <c r="C207" t="s">
        <v>1027</v>
      </c>
      <c r="D207" t="s">
        <v>50</v>
      </c>
      <c r="E207" t="s">
        <v>735</v>
      </c>
      <c r="F207">
        <v>0</v>
      </c>
      <c r="G207">
        <v>0</v>
      </c>
      <c r="H207" t="s">
        <v>794</v>
      </c>
    </row>
    <row r="208" spans="1:8">
      <c r="A208">
        <v>206</v>
      </c>
      <c r="B208" t="s">
        <v>1028</v>
      </c>
      <c r="C208" t="s">
        <v>194</v>
      </c>
      <c r="D208" t="s">
        <v>50</v>
      </c>
      <c r="E208" t="s">
        <v>346</v>
      </c>
      <c r="F208">
        <v>50</v>
      </c>
      <c r="G208">
        <v>50</v>
      </c>
      <c r="H208" t="s">
        <v>794</v>
      </c>
    </row>
    <row r="209" spans="1:8">
      <c r="A209">
        <v>207</v>
      </c>
      <c r="B209" t="s">
        <v>1029</v>
      </c>
      <c r="C209" t="s">
        <v>139</v>
      </c>
      <c r="D209" t="s">
        <v>50</v>
      </c>
      <c r="E209" t="s">
        <v>332</v>
      </c>
      <c r="F209">
        <v>77.5</v>
      </c>
      <c r="G209">
        <v>75</v>
      </c>
      <c r="H209" t="s">
        <v>794</v>
      </c>
    </row>
    <row r="210" spans="1:8">
      <c r="A210">
        <v>208</v>
      </c>
      <c r="B210" t="s">
        <v>1030</v>
      </c>
      <c r="C210" t="s">
        <v>137</v>
      </c>
      <c r="D210" t="s">
        <v>50</v>
      </c>
      <c r="E210" t="s">
        <v>331</v>
      </c>
      <c r="F210">
        <v>72.5</v>
      </c>
      <c r="G210">
        <v>71.900000000000006</v>
      </c>
      <c r="H210" t="s">
        <v>794</v>
      </c>
    </row>
    <row r="211" spans="1:8">
      <c r="A211">
        <v>209</v>
      </c>
      <c r="B211" t="s">
        <v>1031</v>
      </c>
      <c r="C211" t="s">
        <v>1032</v>
      </c>
      <c r="D211" t="s">
        <v>50</v>
      </c>
      <c r="E211" t="s">
        <v>1033</v>
      </c>
      <c r="F211">
        <v>0</v>
      </c>
      <c r="G211">
        <v>0</v>
      </c>
      <c r="H211" t="s">
        <v>792</v>
      </c>
    </row>
    <row r="212" spans="1:8">
      <c r="A212">
        <v>210</v>
      </c>
      <c r="B212" t="s">
        <v>1034</v>
      </c>
      <c r="C212" t="s">
        <v>140</v>
      </c>
      <c r="D212" t="s">
        <v>50</v>
      </c>
      <c r="E212" t="s">
        <v>332</v>
      </c>
      <c r="F212">
        <v>83.5</v>
      </c>
      <c r="G212">
        <v>82</v>
      </c>
      <c r="H212" t="s">
        <v>794</v>
      </c>
    </row>
    <row r="213" spans="1:8">
      <c r="A213">
        <v>211</v>
      </c>
      <c r="B213" t="s">
        <v>1035</v>
      </c>
      <c r="C213" t="s">
        <v>98</v>
      </c>
      <c r="D213" t="s">
        <v>50</v>
      </c>
      <c r="E213" t="s">
        <v>358</v>
      </c>
      <c r="F213">
        <v>0</v>
      </c>
      <c r="G213">
        <v>0</v>
      </c>
      <c r="H213" t="s">
        <v>792</v>
      </c>
    </row>
    <row r="214" spans="1:8">
      <c r="A214">
        <v>212</v>
      </c>
      <c r="B214" t="s">
        <v>1036</v>
      </c>
      <c r="C214" t="s">
        <v>256</v>
      </c>
      <c r="D214" t="s">
        <v>50</v>
      </c>
      <c r="E214" t="s">
        <v>360</v>
      </c>
      <c r="F214">
        <v>75</v>
      </c>
      <c r="G214">
        <v>71.55</v>
      </c>
      <c r="H214" t="s">
        <v>794</v>
      </c>
    </row>
    <row r="215" spans="1:8">
      <c r="A215">
        <v>213</v>
      </c>
      <c r="B215" t="s">
        <v>1037</v>
      </c>
      <c r="C215" t="s">
        <v>138</v>
      </c>
      <c r="D215" t="s">
        <v>50</v>
      </c>
      <c r="E215" t="s">
        <v>332</v>
      </c>
      <c r="F215">
        <v>80</v>
      </c>
      <c r="G215">
        <v>80</v>
      </c>
      <c r="H215" t="s">
        <v>794</v>
      </c>
    </row>
    <row r="216" spans="1:8">
      <c r="A216">
        <v>214</v>
      </c>
      <c r="B216" t="s">
        <v>1038</v>
      </c>
      <c r="C216" t="s">
        <v>141</v>
      </c>
      <c r="D216" t="s">
        <v>50</v>
      </c>
      <c r="E216" t="s">
        <v>332</v>
      </c>
      <c r="F216">
        <v>87.5</v>
      </c>
      <c r="G216">
        <v>82</v>
      </c>
      <c r="H216" t="s">
        <v>794</v>
      </c>
    </row>
    <row r="217" spans="1:8">
      <c r="A217">
        <v>215</v>
      </c>
      <c r="B217" t="s">
        <v>1039</v>
      </c>
      <c r="C217" t="s">
        <v>57</v>
      </c>
      <c r="D217" t="s">
        <v>50</v>
      </c>
      <c r="E217" t="s">
        <v>363</v>
      </c>
      <c r="F217">
        <v>56.35</v>
      </c>
      <c r="G217">
        <v>56.45</v>
      </c>
      <c r="H217" t="s">
        <v>792</v>
      </c>
    </row>
    <row r="218" spans="1:8">
      <c r="A218">
        <v>216</v>
      </c>
      <c r="B218" t="s">
        <v>1040</v>
      </c>
      <c r="C218" t="s">
        <v>262</v>
      </c>
      <c r="D218" t="s">
        <v>50</v>
      </c>
      <c r="E218" t="s">
        <v>363</v>
      </c>
      <c r="F218">
        <v>88.5</v>
      </c>
      <c r="G218">
        <v>87</v>
      </c>
      <c r="H218" t="s">
        <v>794</v>
      </c>
    </row>
    <row r="219" spans="1:8">
      <c r="A219">
        <v>217</v>
      </c>
      <c r="B219" t="s">
        <v>1041</v>
      </c>
      <c r="C219" t="s">
        <v>1042</v>
      </c>
      <c r="D219" t="s">
        <v>50</v>
      </c>
      <c r="E219" t="s">
        <v>602</v>
      </c>
      <c r="F219">
        <v>0</v>
      </c>
      <c r="G219">
        <v>0</v>
      </c>
      <c r="H219" t="s">
        <v>792</v>
      </c>
    </row>
    <row r="220" spans="1:8">
      <c r="A220">
        <v>218</v>
      </c>
      <c r="B220" t="s">
        <v>1043</v>
      </c>
      <c r="C220" t="s">
        <v>241</v>
      </c>
      <c r="D220" t="s">
        <v>50</v>
      </c>
      <c r="E220" t="s">
        <v>358</v>
      </c>
      <c r="F220">
        <v>92</v>
      </c>
      <c r="G220">
        <v>87</v>
      </c>
      <c r="H220" t="s">
        <v>794</v>
      </c>
    </row>
    <row r="221" spans="1:8">
      <c r="A221">
        <v>219</v>
      </c>
      <c r="B221" t="s">
        <v>1044</v>
      </c>
      <c r="C221" t="s">
        <v>603</v>
      </c>
      <c r="D221" t="s">
        <v>307</v>
      </c>
      <c r="E221" t="s">
        <v>604</v>
      </c>
      <c r="F221">
        <v>68.2</v>
      </c>
      <c r="G221">
        <v>0</v>
      </c>
      <c r="H221" t="s">
        <v>792</v>
      </c>
    </row>
    <row r="222" spans="1:8">
      <c r="A222">
        <v>220</v>
      </c>
      <c r="B222" t="s">
        <v>1045</v>
      </c>
      <c r="C222" t="s">
        <v>167</v>
      </c>
      <c r="D222" t="s">
        <v>50</v>
      </c>
      <c r="E222" t="s">
        <v>338</v>
      </c>
      <c r="F222">
        <v>0</v>
      </c>
      <c r="G222">
        <v>77</v>
      </c>
      <c r="H222" t="s">
        <v>794</v>
      </c>
    </row>
    <row r="223" spans="1:8">
      <c r="A223">
        <v>221</v>
      </c>
      <c r="B223" t="s">
        <v>1046</v>
      </c>
      <c r="C223" t="s">
        <v>255</v>
      </c>
      <c r="D223" t="s">
        <v>307</v>
      </c>
      <c r="E223" t="s">
        <v>360</v>
      </c>
      <c r="F223">
        <v>77.5</v>
      </c>
      <c r="G223">
        <v>74.400000000000006</v>
      </c>
      <c r="H223" t="s">
        <v>794</v>
      </c>
    </row>
    <row r="224" spans="1:8">
      <c r="A224">
        <v>222</v>
      </c>
      <c r="B224" t="s">
        <v>1047</v>
      </c>
      <c r="C224" t="s">
        <v>237</v>
      </c>
      <c r="D224" t="s">
        <v>50</v>
      </c>
      <c r="E224" t="s">
        <v>358</v>
      </c>
      <c r="F224">
        <v>80</v>
      </c>
      <c r="G224">
        <v>75</v>
      </c>
      <c r="H224" t="s">
        <v>794</v>
      </c>
    </row>
    <row r="225" spans="1:8">
      <c r="A225">
        <v>223</v>
      </c>
      <c r="B225" t="s">
        <v>1048</v>
      </c>
      <c r="C225" t="s">
        <v>605</v>
      </c>
      <c r="D225" t="s">
        <v>307</v>
      </c>
      <c r="E225" t="s">
        <v>595</v>
      </c>
      <c r="F225">
        <v>35</v>
      </c>
      <c r="G225">
        <v>0</v>
      </c>
      <c r="H225" t="s">
        <v>794</v>
      </c>
    </row>
    <row r="226" spans="1:8">
      <c r="A226">
        <v>224</v>
      </c>
      <c r="B226" t="s">
        <v>1049</v>
      </c>
      <c r="C226" t="s">
        <v>606</v>
      </c>
      <c r="D226" t="s">
        <v>50</v>
      </c>
      <c r="E226" t="s">
        <v>607</v>
      </c>
      <c r="F226">
        <v>77.5</v>
      </c>
      <c r="G226">
        <v>0</v>
      </c>
      <c r="H226" t="s">
        <v>794</v>
      </c>
    </row>
    <row r="227" spans="1:8">
      <c r="A227">
        <v>225</v>
      </c>
      <c r="B227" t="s">
        <v>1050</v>
      </c>
      <c r="C227" t="s">
        <v>165</v>
      </c>
      <c r="D227" t="s">
        <v>50</v>
      </c>
      <c r="E227" t="s">
        <v>338</v>
      </c>
      <c r="F227">
        <v>95</v>
      </c>
      <c r="G227">
        <v>77</v>
      </c>
      <c r="H227" t="s">
        <v>794</v>
      </c>
    </row>
    <row r="228" spans="1:8">
      <c r="A228">
        <v>226</v>
      </c>
      <c r="B228" t="s">
        <v>1051</v>
      </c>
      <c r="C228" t="s">
        <v>267</v>
      </c>
      <c r="D228" t="s">
        <v>50</v>
      </c>
      <c r="E228" t="s">
        <v>363</v>
      </c>
      <c r="F228">
        <v>82</v>
      </c>
      <c r="G228">
        <v>81</v>
      </c>
      <c r="H228" t="s">
        <v>794</v>
      </c>
    </row>
    <row r="229" spans="1:8">
      <c r="A229">
        <v>227</v>
      </c>
      <c r="B229" t="s">
        <v>1052</v>
      </c>
      <c r="C229" t="s">
        <v>103</v>
      </c>
      <c r="D229" t="s">
        <v>307</v>
      </c>
      <c r="E229" t="s">
        <v>358</v>
      </c>
      <c r="F229">
        <v>77.5</v>
      </c>
      <c r="G229">
        <v>79.5</v>
      </c>
      <c r="H229" t="s">
        <v>792</v>
      </c>
    </row>
    <row r="230" spans="1:8">
      <c r="A230">
        <v>228</v>
      </c>
      <c r="B230" t="s">
        <v>1053</v>
      </c>
      <c r="C230" t="s">
        <v>58</v>
      </c>
      <c r="D230" t="s">
        <v>307</v>
      </c>
      <c r="E230" t="s">
        <v>363</v>
      </c>
      <c r="F230">
        <v>90.05</v>
      </c>
      <c r="G230">
        <v>90.05</v>
      </c>
      <c r="H230" t="s">
        <v>792</v>
      </c>
    </row>
    <row r="231" spans="1:8">
      <c r="A231">
        <v>229</v>
      </c>
      <c r="B231" t="s">
        <v>1054</v>
      </c>
      <c r="C231" t="s">
        <v>104</v>
      </c>
      <c r="D231" t="s">
        <v>307</v>
      </c>
      <c r="E231" t="s">
        <v>331</v>
      </c>
      <c r="F231">
        <v>71.05</v>
      </c>
      <c r="G231">
        <v>75.5</v>
      </c>
      <c r="H231" t="s">
        <v>792</v>
      </c>
    </row>
    <row r="232" spans="1:8">
      <c r="A232">
        <v>230</v>
      </c>
      <c r="B232" t="s">
        <v>1055</v>
      </c>
      <c r="C232" t="s">
        <v>266</v>
      </c>
      <c r="D232" t="s">
        <v>50</v>
      </c>
      <c r="E232" t="s">
        <v>363</v>
      </c>
      <c r="F232">
        <v>80</v>
      </c>
      <c r="G232">
        <v>79</v>
      </c>
      <c r="H232" t="s">
        <v>794</v>
      </c>
    </row>
    <row r="233" spans="1:8">
      <c r="A233">
        <v>231</v>
      </c>
      <c r="B233" t="s">
        <v>1056</v>
      </c>
      <c r="C233" t="s">
        <v>268</v>
      </c>
      <c r="D233" t="s">
        <v>50</v>
      </c>
      <c r="E233" t="s">
        <v>363</v>
      </c>
      <c r="F233">
        <v>88</v>
      </c>
      <c r="G233">
        <v>85</v>
      </c>
      <c r="H233" t="s">
        <v>794</v>
      </c>
    </row>
    <row r="234" spans="1:8">
      <c r="A234">
        <v>232</v>
      </c>
      <c r="B234" t="s">
        <v>1057</v>
      </c>
      <c r="C234" t="s">
        <v>608</v>
      </c>
      <c r="D234" t="s">
        <v>307</v>
      </c>
      <c r="E234" t="s">
        <v>609</v>
      </c>
      <c r="F234">
        <v>0</v>
      </c>
      <c r="G234">
        <v>0</v>
      </c>
      <c r="H234" t="s">
        <v>792</v>
      </c>
    </row>
    <row r="235" spans="1:8">
      <c r="A235">
        <v>233</v>
      </c>
      <c r="B235" t="s">
        <v>1058</v>
      </c>
      <c r="C235" t="s">
        <v>610</v>
      </c>
      <c r="D235" t="s">
        <v>50</v>
      </c>
      <c r="E235" t="s">
        <v>601</v>
      </c>
      <c r="F235">
        <v>65</v>
      </c>
      <c r="G235">
        <v>0</v>
      </c>
      <c r="H235" t="s">
        <v>794</v>
      </c>
    </row>
    <row r="236" spans="1:8">
      <c r="A236">
        <v>234</v>
      </c>
      <c r="B236" t="s">
        <v>1059</v>
      </c>
      <c r="C236" t="s">
        <v>238</v>
      </c>
      <c r="D236" t="s">
        <v>50</v>
      </c>
      <c r="E236" t="s">
        <v>358</v>
      </c>
      <c r="F236">
        <v>78</v>
      </c>
      <c r="G236">
        <v>74</v>
      </c>
      <c r="H236" t="s">
        <v>794</v>
      </c>
    </row>
    <row r="237" spans="1:8">
      <c r="A237">
        <v>235</v>
      </c>
      <c r="B237" t="s">
        <v>1060</v>
      </c>
      <c r="C237" t="s">
        <v>236</v>
      </c>
      <c r="D237" t="s">
        <v>50</v>
      </c>
      <c r="E237" t="s">
        <v>358</v>
      </c>
      <c r="F237">
        <v>81</v>
      </c>
      <c r="G237">
        <v>77</v>
      </c>
      <c r="H237" t="s">
        <v>794</v>
      </c>
    </row>
    <row r="238" spans="1:8">
      <c r="A238">
        <v>236</v>
      </c>
      <c r="B238" t="s">
        <v>1061</v>
      </c>
      <c r="C238" t="s">
        <v>611</v>
      </c>
      <c r="D238" t="s">
        <v>307</v>
      </c>
      <c r="E238" t="s">
        <v>600</v>
      </c>
      <c r="F238">
        <v>57.2</v>
      </c>
      <c r="G238">
        <v>0</v>
      </c>
      <c r="H238" t="s">
        <v>792</v>
      </c>
    </row>
    <row r="239" spans="1:8">
      <c r="A239">
        <v>237</v>
      </c>
      <c r="B239" t="s">
        <v>1062</v>
      </c>
      <c r="C239" t="s">
        <v>264</v>
      </c>
      <c r="D239" t="s">
        <v>307</v>
      </c>
      <c r="E239" t="s">
        <v>363</v>
      </c>
      <c r="F239">
        <v>82.5</v>
      </c>
      <c r="G239">
        <v>81.5</v>
      </c>
      <c r="H239" t="s">
        <v>794</v>
      </c>
    </row>
    <row r="240" spans="1:8">
      <c r="A240">
        <v>238</v>
      </c>
      <c r="B240" t="s">
        <v>1063</v>
      </c>
      <c r="C240" t="s">
        <v>100</v>
      </c>
      <c r="D240" t="s">
        <v>307</v>
      </c>
      <c r="E240" t="s">
        <v>358</v>
      </c>
      <c r="F240">
        <v>66</v>
      </c>
      <c r="G240">
        <v>68</v>
      </c>
      <c r="H240" t="s">
        <v>792</v>
      </c>
    </row>
    <row r="241" spans="1:8">
      <c r="A241">
        <v>239</v>
      </c>
      <c r="B241" t="s">
        <v>1064</v>
      </c>
      <c r="C241" t="s">
        <v>101</v>
      </c>
      <c r="D241" t="s">
        <v>307</v>
      </c>
      <c r="E241" t="s">
        <v>358</v>
      </c>
      <c r="F241">
        <v>81.8</v>
      </c>
      <c r="G241">
        <v>83.8</v>
      </c>
      <c r="H241" t="s">
        <v>792</v>
      </c>
    </row>
    <row r="242" spans="1:8">
      <c r="A242">
        <v>240</v>
      </c>
      <c r="B242" t="s">
        <v>1065</v>
      </c>
      <c r="C242" t="s">
        <v>265</v>
      </c>
      <c r="D242" t="s">
        <v>50</v>
      </c>
      <c r="E242" t="s">
        <v>363</v>
      </c>
      <c r="F242">
        <v>85</v>
      </c>
      <c r="G242">
        <v>84</v>
      </c>
      <c r="H242" t="s">
        <v>794</v>
      </c>
    </row>
    <row r="243" spans="1:8">
      <c r="A243">
        <v>241</v>
      </c>
      <c r="B243" t="s">
        <v>1066</v>
      </c>
      <c r="C243" t="s">
        <v>225</v>
      </c>
      <c r="D243" t="s">
        <v>307</v>
      </c>
      <c r="E243" t="s">
        <v>355</v>
      </c>
      <c r="F243">
        <v>50</v>
      </c>
      <c r="G243">
        <v>57.4</v>
      </c>
      <c r="H243" t="s">
        <v>794</v>
      </c>
    </row>
    <row r="244" spans="1:8">
      <c r="A244">
        <v>242</v>
      </c>
      <c r="B244" t="s">
        <v>1067</v>
      </c>
      <c r="C244" t="s">
        <v>102</v>
      </c>
      <c r="D244" t="s">
        <v>307</v>
      </c>
      <c r="E244" t="s">
        <v>369</v>
      </c>
      <c r="F244">
        <v>68.099999999999994</v>
      </c>
      <c r="G244">
        <v>0</v>
      </c>
      <c r="H244" t="s">
        <v>792</v>
      </c>
    </row>
    <row r="245" spans="1:8">
      <c r="A245">
        <v>243</v>
      </c>
      <c r="B245" t="s">
        <v>1068</v>
      </c>
      <c r="C245" t="s">
        <v>193</v>
      </c>
      <c r="D245" t="s">
        <v>50</v>
      </c>
      <c r="E245" t="s">
        <v>346</v>
      </c>
      <c r="F245">
        <v>87</v>
      </c>
      <c r="G245">
        <v>87</v>
      </c>
      <c r="H245" t="s">
        <v>794</v>
      </c>
    </row>
    <row r="246" spans="1:8">
      <c r="A246">
        <v>244</v>
      </c>
      <c r="B246" t="s">
        <v>1069</v>
      </c>
      <c r="C246" t="s">
        <v>1070</v>
      </c>
      <c r="D246" t="s">
        <v>307</v>
      </c>
      <c r="E246" t="s">
        <v>609</v>
      </c>
      <c r="F246">
        <v>77.400000000000006</v>
      </c>
      <c r="G246">
        <v>0</v>
      </c>
      <c r="H246" t="s">
        <v>792</v>
      </c>
    </row>
    <row r="247" spans="1:8">
      <c r="A247">
        <v>245</v>
      </c>
      <c r="B247" t="s">
        <v>1071</v>
      </c>
      <c r="C247" t="s">
        <v>106</v>
      </c>
      <c r="D247" t="s">
        <v>59</v>
      </c>
      <c r="E247" t="s">
        <v>360</v>
      </c>
      <c r="F247">
        <v>34</v>
      </c>
      <c r="G247">
        <v>37</v>
      </c>
      <c r="H247" t="s">
        <v>792</v>
      </c>
    </row>
    <row r="248" spans="1:8">
      <c r="A248">
        <v>246</v>
      </c>
      <c r="B248" t="s">
        <v>1072</v>
      </c>
      <c r="C248" t="s">
        <v>60</v>
      </c>
      <c r="D248" t="s">
        <v>59</v>
      </c>
      <c r="E248" t="s">
        <v>360</v>
      </c>
      <c r="F248">
        <v>34</v>
      </c>
      <c r="G248">
        <v>36</v>
      </c>
      <c r="H248" t="s">
        <v>792</v>
      </c>
    </row>
    <row r="249" spans="1:8">
      <c r="A249">
        <v>247</v>
      </c>
      <c r="B249" t="s">
        <v>1073</v>
      </c>
      <c r="C249" t="s">
        <v>62</v>
      </c>
      <c r="D249" t="s">
        <v>59</v>
      </c>
      <c r="E249" t="s">
        <v>334</v>
      </c>
      <c r="F249">
        <v>0</v>
      </c>
      <c r="G249">
        <v>0</v>
      </c>
      <c r="H249" t="s">
        <v>792</v>
      </c>
    </row>
    <row r="250" spans="1:8">
      <c r="A250">
        <v>248</v>
      </c>
      <c r="B250" t="s">
        <v>1074</v>
      </c>
      <c r="C250" t="s">
        <v>151</v>
      </c>
      <c r="D250" t="s">
        <v>59</v>
      </c>
      <c r="E250" t="s">
        <v>336</v>
      </c>
      <c r="F250">
        <v>65</v>
      </c>
      <c r="G250">
        <v>37.9</v>
      </c>
      <c r="H250" t="s">
        <v>794</v>
      </c>
    </row>
    <row r="251" spans="1:8">
      <c r="A251">
        <v>249</v>
      </c>
      <c r="B251" t="s">
        <v>1075</v>
      </c>
      <c r="C251" t="s">
        <v>142</v>
      </c>
      <c r="D251" t="s">
        <v>59</v>
      </c>
      <c r="E251" t="s">
        <v>333</v>
      </c>
      <c r="F251">
        <v>45</v>
      </c>
      <c r="G251">
        <v>40.9</v>
      </c>
      <c r="H251" t="s">
        <v>794</v>
      </c>
    </row>
    <row r="252" spans="1:8">
      <c r="A252">
        <v>250</v>
      </c>
      <c r="B252" t="s">
        <v>1076</v>
      </c>
      <c r="C252" t="s">
        <v>152</v>
      </c>
      <c r="D252" t="s">
        <v>59</v>
      </c>
      <c r="E252" t="s">
        <v>336</v>
      </c>
      <c r="F252">
        <v>65</v>
      </c>
      <c r="G252">
        <v>37.9</v>
      </c>
      <c r="H252" t="s">
        <v>794</v>
      </c>
    </row>
    <row r="253" spans="1:8">
      <c r="A253">
        <v>251</v>
      </c>
      <c r="B253" t="s">
        <v>1077</v>
      </c>
      <c r="C253" t="s">
        <v>158</v>
      </c>
      <c r="D253" t="s">
        <v>59</v>
      </c>
      <c r="E253" t="s">
        <v>336</v>
      </c>
      <c r="F253">
        <v>65</v>
      </c>
      <c r="G253">
        <v>40.9</v>
      </c>
      <c r="H253" t="s">
        <v>794</v>
      </c>
    </row>
    <row r="254" spans="1:8">
      <c r="A254">
        <v>252</v>
      </c>
      <c r="B254" t="s">
        <v>1078</v>
      </c>
      <c r="C254" t="s">
        <v>612</v>
      </c>
      <c r="D254" t="s">
        <v>59</v>
      </c>
      <c r="E254" t="s">
        <v>613</v>
      </c>
      <c r="F254">
        <v>55</v>
      </c>
      <c r="G254">
        <v>0</v>
      </c>
      <c r="H254" t="s">
        <v>794</v>
      </c>
    </row>
    <row r="255" spans="1:8">
      <c r="A255">
        <v>253</v>
      </c>
      <c r="B255" t="s">
        <v>1079</v>
      </c>
      <c r="C255" t="s">
        <v>614</v>
      </c>
      <c r="D255" t="s">
        <v>59</v>
      </c>
      <c r="E255" t="s">
        <v>602</v>
      </c>
      <c r="F255">
        <v>70.5</v>
      </c>
      <c r="G255">
        <v>0</v>
      </c>
      <c r="H255" t="s">
        <v>792</v>
      </c>
    </row>
    <row r="256" spans="1:8">
      <c r="A256">
        <v>254</v>
      </c>
      <c r="B256" t="s">
        <v>1080</v>
      </c>
      <c r="C256" t="s">
        <v>144</v>
      </c>
      <c r="D256" t="s">
        <v>59</v>
      </c>
      <c r="E256" t="s">
        <v>334</v>
      </c>
      <c r="F256">
        <v>32.5</v>
      </c>
      <c r="G256">
        <v>30</v>
      </c>
      <c r="H256" t="s">
        <v>794</v>
      </c>
    </row>
    <row r="257" spans="1:8">
      <c r="A257">
        <v>255</v>
      </c>
      <c r="B257" t="s">
        <v>1081</v>
      </c>
      <c r="C257" t="s">
        <v>143</v>
      </c>
      <c r="D257" t="s">
        <v>59</v>
      </c>
      <c r="E257" t="s">
        <v>333</v>
      </c>
      <c r="F257">
        <v>46</v>
      </c>
      <c r="G257">
        <v>41.9</v>
      </c>
      <c r="H257" t="s">
        <v>794</v>
      </c>
    </row>
    <row r="258" spans="1:8">
      <c r="A258">
        <v>256</v>
      </c>
      <c r="B258" t="s">
        <v>1082</v>
      </c>
      <c r="C258" t="s">
        <v>61</v>
      </c>
      <c r="D258" t="s">
        <v>59</v>
      </c>
      <c r="E258" t="s">
        <v>334</v>
      </c>
      <c r="F258">
        <v>32</v>
      </c>
      <c r="G258">
        <v>32</v>
      </c>
      <c r="H258" t="s">
        <v>792</v>
      </c>
    </row>
    <row r="259" spans="1:8">
      <c r="A259">
        <v>257</v>
      </c>
      <c r="B259" t="s">
        <v>1083</v>
      </c>
      <c r="C259" t="s">
        <v>105</v>
      </c>
      <c r="D259" t="s">
        <v>59</v>
      </c>
      <c r="E259" t="s">
        <v>334</v>
      </c>
      <c r="F259">
        <v>26.55</v>
      </c>
      <c r="G259">
        <v>27.55</v>
      </c>
      <c r="H259" t="s">
        <v>792</v>
      </c>
    </row>
    <row r="260" spans="1:8">
      <c r="A260">
        <v>258</v>
      </c>
      <c r="B260" t="s">
        <v>1084</v>
      </c>
      <c r="C260" t="s">
        <v>160</v>
      </c>
      <c r="D260" t="s">
        <v>59</v>
      </c>
      <c r="E260" t="s">
        <v>337</v>
      </c>
      <c r="F260">
        <v>45</v>
      </c>
      <c r="G260">
        <v>38</v>
      </c>
      <c r="H260" t="s">
        <v>794</v>
      </c>
    </row>
    <row r="261" spans="1:8">
      <c r="A261">
        <v>259</v>
      </c>
      <c r="B261" t="s">
        <v>1085</v>
      </c>
      <c r="C261" t="s">
        <v>615</v>
      </c>
      <c r="D261" t="s">
        <v>59</v>
      </c>
      <c r="E261" t="s">
        <v>616</v>
      </c>
      <c r="F261">
        <v>394</v>
      </c>
      <c r="G261">
        <v>0</v>
      </c>
      <c r="H261" t="s">
        <v>792</v>
      </c>
    </row>
    <row r="262" spans="1:8">
      <c r="A262">
        <v>260</v>
      </c>
      <c r="B262" t="s">
        <v>1086</v>
      </c>
      <c r="C262" t="s">
        <v>154</v>
      </c>
      <c r="D262" t="s">
        <v>59</v>
      </c>
      <c r="E262" t="s">
        <v>336</v>
      </c>
      <c r="F262">
        <v>65</v>
      </c>
      <c r="G262">
        <v>37.9</v>
      </c>
      <c r="H262" t="s">
        <v>794</v>
      </c>
    </row>
    <row r="263" spans="1:8">
      <c r="A263">
        <v>261</v>
      </c>
      <c r="B263" t="s">
        <v>1087</v>
      </c>
      <c r="C263" t="s">
        <v>147</v>
      </c>
      <c r="D263" t="s">
        <v>59</v>
      </c>
      <c r="E263" t="s">
        <v>334</v>
      </c>
      <c r="F263">
        <v>32.5</v>
      </c>
      <c r="G263">
        <v>30</v>
      </c>
      <c r="H263" t="s">
        <v>794</v>
      </c>
    </row>
    <row r="264" spans="1:8">
      <c r="A264">
        <v>262</v>
      </c>
      <c r="B264" t="s">
        <v>1088</v>
      </c>
      <c r="C264" t="s">
        <v>64</v>
      </c>
      <c r="D264" t="s">
        <v>59</v>
      </c>
      <c r="E264" t="s">
        <v>334</v>
      </c>
      <c r="F264">
        <v>25</v>
      </c>
      <c r="G264">
        <v>27</v>
      </c>
      <c r="H264" t="s">
        <v>792</v>
      </c>
    </row>
    <row r="265" spans="1:8">
      <c r="A265">
        <v>263</v>
      </c>
      <c r="B265" t="s">
        <v>1089</v>
      </c>
      <c r="C265" t="s">
        <v>63</v>
      </c>
      <c r="D265" t="s">
        <v>59</v>
      </c>
      <c r="E265" t="s">
        <v>334</v>
      </c>
      <c r="F265">
        <v>25</v>
      </c>
      <c r="G265">
        <v>27</v>
      </c>
      <c r="H265" t="s">
        <v>792</v>
      </c>
    </row>
    <row r="266" spans="1:8">
      <c r="A266">
        <v>264</v>
      </c>
      <c r="B266" t="s">
        <v>1090</v>
      </c>
      <c r="C266" t="s">
        <v>146</v>
      </c>
      <c r="D266" t="s">
        <v>59</v>
      </c>
      <c r="E266" t="s">
        <v>334</v>
      </c>
      <c r="F266">
        <v>32.5</v>
      </c>
      <c r="G266">
        <v>30</v>
      </c>
      <c r="H266" t="s">
        <v>794</v>
      </c>
    </row>
    <row r="267" spans="1:8">
      <c r="A267">
        <v>265</v>
      </c>
      <c r="B267" t="s">
        <v>1091</v>
      </c>
      <c r="C267" t="s">
        <v>161</v>
      </c>
      <c r="D267" t="s">
        <v>50</v>
      </c>
      <c r="E267" t="s">
        <v>337</v>
      </c>
      <c r="F267">
        <v>40</v>
      </c>
      <c r="G267">
        <v>37</v>
      </c>
      <c r="H267" t="s">
        <v>794</v>
      </c>
    </row>
    <row r="268" spans="1:8">
      <c r="A268">
        <v>266</v>
      </c>
      <c r="B268" t="s">
        <v>1092</v>
      </c>
      <c r="C268" t="s">
        <v>157</v>
      </c>
      <c r="D268" t="s">
        <v>59</v>
      </c>
      <c r="E268" t="s">
        <v>336</v>
      </c>
      <c r="F268">
        <v>65</v>
      </c>
      <c r="G268">
        <v>37.9</v>
      </c>
      <c r="H268" t="s">
        <v>794</v>
      </c>
    </row>
    <row r="269" spans="1:8">
      <c r="A269">
        <v>267</v>
      </c>
      <c r="B269" t="s">
        <v>1093</v>
      </c>
      <c r="C269" t="s">
        <v>145</v>
      </c>
      <c r="D269" t="s">
        <v>59</v>
      </c>
      <c r="E269" t="s">
        <v>334</v>
      </c>
      <c r="F269">
        <v>32.5</v>
      </c>
      <c r="G269">
        <v>30</v>
      </c>
      <c r="H269" t="s">
        <v>794</v>
      </c>
    </row>
    <row r="270" spans="1:8">
      <c r="A270">
        <v>268</v>
      </c>
      <c r="B270" t="s">
        <v>1094</v>
      </c>
      <c r="C270" t="s">
        <v>148</v>
      </c>
      <c r="D270" t="s">
        <v>59</v>
      </c>
      <c r="E270" t="s">
        <v>334</v>
      </c>
      <c r="F270">
        <v>32.5</v>
      </c>
      <c r="G270">
        <v>30</v>
      </c>
      <c r="H270" t="s">
        <v>794</v>
      </c>
    </row>
    <row r="271" spans="1:8">
      <c r="A271">
        <v>269</v>
      </c>
      <c r="B271" t="s">
        <v>1095</v>
      </c>
      <c r="C271" t="s">
        <v>617</v>
      </c>
      <c r="D271" t="s">
        <v>618</v>
      </c>
      <c r="E271" t="s">
        <v>582</v>
      </c>
      <c r="F271">
        <v>45.5</v>
      </c>
      <c r="G271">
        <v>0</v>
      </c>
      <c r="H271" t="s">
        <v>792</v>
      </c>
    </row>
    <row r="272" spans="1:8">
      <c r="A272">
        <v>270</v>
      </c>
      <c r="B272" t="s">
        <v>1096</v>
      </c>
      <c r="C272" t="s">
        <v>619</v>
      </c>
      <c r="D272" t="s">
        <v>618</v>
      </c>
      <c r="E272" t="s">
        <v>620</v>
      </c>
      <c r="F272">
        <v>48</v>
      </c>
      <c r="G272">
        <v>0</v>
      </c>
      <c r="H272" t="s">
        <v>792</v>
      </c>
    </row>
    <row r="273" spans="1:8">
      <c r="A273">
        <v>271</v>
      </c>
      <c r="B273" t="s">
        <v>1097</v>
      </c>
      <c r="C273" t="s">
        <v>621</v>
      </c>
      <c r="D273" t="s">
        <v>322</v>
      </c>
      <c r="E273" t="s">
        <v>622</v>
      </c>
      <c r="F273">
        <v>0</v>
      </c>
      <c r="G273">
        <v>0</v>
      </c>
      <c r="H273" t="s">
        <v>794</v>
      </c>
    </row>
    <row r="274" spans="1:8">
      <c r="A274">
        <v>272</v>
      </c>
      <c r="B274" t="s">
        <v>1098</v>
      </c>
      <c r="C274" t="s">
        <v>623</v>
      </c>
      <c r="D274" t="s">
        <v>618</v>
      </c>
      <c r="E274" t="s">
        <v>622</v>
      </c>
      <c r="F274">
        <v>0</v>
      </c>
      <c r="G274">
        <v>0</v>
      </c>
      <c r="H274" t="s">
        <v>794</v>
      </c>
    </row>
    <row r="275" spans="1:8">
      <c r="A275">
        <v>273</v>
      </c>
      <c r="B275" t="s">
        <v>1099</v>
      </c>
      <c r="C275" t="s">
        <v>624</v>
      </c>
      <c r="D275" t="s">
        <v>618</v>
      </c>
      <c r="E275" t="s">
        <v>622</v>
      </c>
      <c r="F275">
        <v>0</v>
      </c>
      <c r="G275">
        <v>0</v>
      </c>
      <c r="H275" t="s">
        <v>794</v>
      </c>
    </row>
    <row r="276" spans="1:8">
      <c r="A276">
        <v>274</v>
      </c>
      <c r="B276" t="s">
        <v>1100</v>
      </c>
      <c r="C276" t="s">
        <v>625</v>
      </c>
      <c r="D276" t="s">
        <v>618</v>
      </c>
      <c r="E276" t="s">
        <v>622</v>
      </c>
      <c r="F276">
        <v>0</v>
      </c>
      <c r="G276">
        <v>0</v>
      </c>
      <c r="H276" t="s">
        <v>794</v>
      </c>
    </row>
    <row r="277" spans="1:8">
      <c r="A277">
        <v>275</v>
      </c>
      <c r="B277" t="s">
        <v>1101</v>
      </c>
      <c r="C277" t="s">
        <v>626</v>
      </c>
      <c r="D277" t="s">
        <v>322</v>
      </c>
      <c r="E277" t="s">
        <v>622</v>
      </c>
      <c r="F277">
        <v>0</v>
      </c>
      <c r="G277">
        <v>0</v>
      </c>
      <c r="H277" t="s">
        <v>794</v>
      </c>
    </row>
    <row r="278" spans="1:8">
      <c r="A278">
        <v>276</v>
      </c>
      <c r="B278" t="s">
        <v>1102</v>
      </c>
      <c r="C278" t="s">
        <v>627</v>
      </c>
      <c r="D278" t="s">
        <v>618</v>
      </c>
      <c r="E278" t="s">
        <v>628</v>
      </c>
      <c r="F278">
        <v>50.65</v>
      </c>
      <c r="G278">
        <v>0</v>
      </c>
      <c r="H278" t="s">
        <v>792</v>
      </c>
    </row>
    <row r="279" spans="1:8">
      <c r="A279">
        <v>277</v>
      </c>
      <c r="B279" t="s">
        <v>1103</v>
      </c>
      <c r="C279" t="s">
        <v>629</v>
      </c>
      <c r="D279" t="s">
        <v>322</v>
      </c>
      <c r="E279" t="s">
        <v>359</v>
      </c>
      <c r="F279">
        <v>60</v>
      </c>
      <c r="G279">
        <v>0</v>
      </c>
      <c r="H279" t="s">
        <v>794</v>
      </c>
    </row>
    <row r="280" spans="1:8">
      <c r="A280">
        <v>278</v>
      </c>
      <c r="B280" t="s">
        <v>1104</v>
      </c>
      <c r="C280" t="s">
        <v>250</v>
      </c>
      <c r="D280" t="s">
        <v>322</v>
      </c>
      <c r="E280" t="s">
        <v>359</v>
      </c>
      <c r="F280">
        <v>0</v>
      </c>
      <c r="G280">
        <v>63.25</v>
      </c>
      <c r="H280" t="s">
        <v>794</v>
      </c>
    </row>
    <row r="281" spans="1:8">
      <c r="A281">
        <v>279</v>
      </c>
      <c r="B281" t="s">
        <v>1105</v>
      </c>
      <c r="C281" t="s">
        <v>630</v>
      </c>
      <c r="D281" t="s">
        <v>322</v>
      </c>
      <c r="E281" t="s">
        <v>631</v>
      </c>
      <c r="F281">
        <v>59.15</v>
      </c>
      <c r="G281">
        <v>0</v>
      </c>
      <c r="H281" t="s">
        <v>792</v>
      </c>
    </row>
    <row r="282" spans="1:8">
      <c r="A282">
        <v>280</v>
      </c>
      <c r="B282" t="s">
        <v>1106</v>
      </c>
      <c r="C282" t="s">
        <v>249</v>
      </c>
      <c r="D282" t="s">
        <v>322</v>
      </c>
      <c r="E282" t="s">
        <v>359</v>
      </c>
      <c r="F282">
        <v>0</v>
      </c>
      <c r="G282">
        <v>63.25</v>
      </c>
      <c r="H282" t="s">
        <v>794</v>
      </c>
    </row>
    <row r="283" spans="1:8">
      <c r="A283">
        <v>281</v>
      </c>
      <c r="B283" t="s">
        <v>1107</v>
      </c>
      <c r="C283" t="s">
        <v>632</v>
      </c>
      <c r="D283" t="s">
        <v>322</v>
      </c>
      <c r="E283" t="s">
        <v>633</v>
      </c>
      <c r="F283">
        <v>57.65</v>
      </c>
      <c r="G283">
        <v>0</v>
      </c>
      <c r="H283" t="s">
        <v>792</v>
      </c>
    </row>
    <row r="284" spans="1:8">
      <c r="A284">
        <v>282</v>
      </c>
      <c r="B284" t="s">
        <v>1108</v>
      </c>
      <c r="C284" t="s">
        <v>634</v>
      </c>
      <c r="D284" t="s">
        <v>322</v>
      </c>
      <c r="E284" t="s">
        <v>510</v>
      </c>
      <c r="F284">
        <v>0</v>
      </c>
      <c r="G284">
        <v>0</v>
      </c>
      <c r="H284" t="s">
        <v>794</v>
      </c>
    </row>
    <row r="285" spans="1:8">
      <c r="A285">
        <v>283</v>
      </c>
      <c r="B285" t="s">
        <v>1109</v>
      </c>
      <c r="C285" t="s">
        <v>635</v>
      </c>
      <c r="D285" t="s">
        <v>322</v>
      </c>
      <c r="E285" t="s">
        <v>622</v>
      </c>
      <c r="F285">
        <v>0</v>
      </c>
      <c r="G285">
        <v>0</v>
      </c>
      <c r="H285" t="s">
        <v>794</v>
      </c>
    </row>
    <row r="286" spans="1:8">
      <c r="A286">
        <v>284</v>
      </c>
      <c r="B286" t="s">
        <v>1110</v>
      </c>
      <c r="C286" t="s">
        <v>271</v>
      </c>
      <c r="D286" t="s">
        <v>313</v>
      </c>
      <c r="E286" t="s">
        <v>364</v>
      </c>
      <c r="F286">
        <v>75</v>
      </c>
      <c r="G286">
        <v>70</v>
      </c>
      <c r="H286" t="s">
        <v>794</v>
      </c>
    </row>
    <row r="287" spans="1:8">
      <c r="A287">
        <v>285</v>
      </c>
      <c r="B287" t="s">
        <v>1111</v>
      </c>
      <c r="C287" t="s">
        <v>636</v>
      </c>
      <c r="D287" t="s">
        <v>313</v>
      </c>
      <c r="E287" t="s">
        <v>491</v>
      </c>
      <c r="F287">
        <v>80</v>
      </c>
      <c r="G287">
        <v>0</v>
      </c>
      <c r="H287" t="s">
        <v>792</v>
      </c>
    </row>
    <row r="288" spans="1:8">
      <c r="A288">
        <v>286</v>
      </c>
      <c r="B288" t="s">
        <v>1112</v>
      </c>
      <c r="C288" t="s">
        <v>269</v>
      </c>
      <c r="D288" t="s">
        <v>313</v>
      </c>
      <c r="E288" t="s">
        <v>364</v>
      </c>
      <c r="F288">
        <v>75</v>
      </c>
      <c r="G288">
        <v>70</v>
      </c>
      <c r="H288" t="s">
        <v>794</v>
      </c>
    </row>
    <row r="289" spans="1:8">
      <c r="A289">
        <v>287</v>
      </c>
      <c r="B289" t="s">
        <v>1113</v>
      </c>
      <c r="C289" t="s">
        <v>637</v>
      </c>
      <c r="D289" t="s">
        <v>313</v>
      </c>
      <c r="E289" t="s">
        <v>510</v>
      </c>
      <c r="F289">
        <v>67</v>
      </c>
      <c r="G289">
        <v>0</v>
      </c>
      <c r="H289" t="s">
        <v>792</v>
      </c>
    </row>
    <row r="290" spans="1:8">
      <c r="A290">
        <v>288</v>
      </c>
      <c r="B290" t="s">
        <v>1114</v>
      </c>
      <c r="C290" t="s">
        <v>233</v>
      </c>
      <c r="D290" t="s">
        <v>312</v>
      </c>
      <c r="E290" t="s">
        <v>357</v>
      </c>
      <c r="F290">
        <v>80</v>
      </c>
      <c r="G290">
        <v>75</v>
      </c>
      <c r="H290" t="s">
        <v>794</v>
      </c>
    </row>
    <row r="291" spans="1:8">
      <c r="A291">
        <v>289</v>
      </c>
      <c r="B291" t="s">
        <v>1115</v>
      </c>
      <c r="C291" t="s">
        <v>232</v>
      </c>
      <c r="D291" t="s">
        <v>312</v>
      </c>
      <c r="E291" t="s">
        <v>357</v>
      </c>
      <c r="F291">
        <v>80</v>
      </c>
      <c r="G291">
        <v>75</v>
      </c>
      <c r="H291" t="s">
        <v>794</v>
      </c>
    </row>
    <row r="292" spans="1:8">
      <c r="A292">
        <v>290</v>
      </c>
      <c r="B292" t="s">
        <v>1116</v>
      </c>
      <c r="C292" t="s">
        <v>91</v>
      </c>
      <c r="D292" t="s">
        <v>313</v>
      </c>
      <c r="E292" t="s">
        <v>357</v>
      </c>
      <c r="F292">
        <v>70</v>
      </c>
      <c r="G292">
        <v>70</v>
      </c>
      <c r="H292" t="s">
        <v>792</v>
      </c>
    </row>
    <row r="293" spans="1:8">
      <c r="A293">
        <v>291</v>
      </c>
      <c r="B293" t="s">
        <v>1117</v>
      </c>
      <c r="C293" t="s">
        <v>38</v>
      </c>
      <c r="D293" t="s">
        <v>313</v>
      </c>
      <c r="E293" t="s">
        <v>357</v>
      </c>
      <c r="F293">
        <v>70</v>
      </c>
      <c r="G293">
        <v>70</v>
      </c>
      <c r="H293" t="s">
        <v>792</v>
      </c>
    </row>
    <row r="294" spans="1:8">
      <c r="A294">
        <v>292</v>
      </c>
      <c r="B294" t="s">
        <v>1118</v>
      </c>
      <c r="C294" t="s">
        <v>648</v>
      </c>
      <c r="D294" t="s">
        <v>313</v>
      </c>
      <c r="E294" t="s">
        <v>491</v>
      </c>
      <c r="F294">
        <v>73</v>
      </c>
      <c r="G294">
        <v>0</v>
      </c>
      <c r="H294" t="s">
        <v>792</v>
      </c>
    </row>
    <row r="295" spans="1:8">
      <c r="A295">
        <v>293</v>
      </c>
      <c r="B295" t="s">
        <v>1119</v>
      </c>
      <c r="C295" t="s">
        <v>649</v>
      </c>
      <c r="D295" t="s">
        <v>313</v>
      </c>
      <c r="E295" t="s">
        <v>650</v>
      </c>
      <c r="F295">
        <v>85</v>
      </c>
      <c r="G295">
        <v>0</v>
      </c>
      <c r="H295" t="s">
        <v>794</v>
      </c>
    </row>
    <row r="296" spans="1:8">
      <c r="A296">
        <v>294</v>
      </c>
      <c r="B296" t="s">
        <v>1120</v>
      </c>
      <c r="C296" t="s">
        <v>272</v>
      </c>
      <c r="D296" t="s">
        <v>313</v>
      </c>
      <c r="E296" t="s">
        <v>364</v>
      </c>
      <c r="F296">
        <v>75</v>
      </c>
      <c r="G296">
        <v>72.5</v>
      </c>
      <c r="H296" t="s">
        <v>794</v>
      </c>
    </row>
    <row r="297" spans="1:8">
      <c r="A297">
        <v>295</v>
      </c>
      <c r="B297" t="s">
        <v>1121</v>
      </c>
      <c r="C297" t="s">
        <v>651</v>
      </c>
      <c r="D297" t="s">
        <v>322</v>
      </c>
      <c r="E297" t="s">
        <v>622</v>
      </c>
      <c r="F297">
        <v>0</v>
      </c>
      <c r="G297">
        <v>0</v>
      </c>
      <c r="H297" t="s">
        <v>794</v>
      </c>
    </row>
    <row r="298" spans="1:8">
      <c r="A298">
        <v>296</v>
      </c>
      <c r="B298" t="s">
        <v>1122</v>
      </c>
      <c r="C298" t="s">
        <v>621</v>
      </c>
      <c r="D298" t="s">
        <v>322</v>
      </c>
      <c r="E298" t="s">
        <v>622</v>
      </c>
      <c r="F298">
        <v>0</v>
      </c>
      <c r="G298">
        <v>0</v>
      </c>
      <c r="H298" t="s">
        <v>794</v>
      </c>
    </row>
    <row r="299" spans="1:8">
      <c r="A299">
        <v>297</v>
      </c>
      <c r="B299" t="s">
        <v>1123</v>
      </c>
      <c r="C299" t="s">
        <v>652</v>
      </c>
      <c r="D299" t="s">
        <v>313</v>
      </c>
      <c r="E299" t="s">
        <v>538</v>
      </c>
      <c r="F299">
        <v>70</v>
      </c>
      <c r="G299">
        <v>0</v>
      </c>
      <c r="H299" t="s">
        <v>792</v>
      </c>
    </row>
    <row r="300" spans="1:8">
      <c r="A300">
        <v>298</v>
      </c>
      <c r="B300" t="s">
        <v>1124</v>
      </c>
      <c r="C300" t="s">
        <v>653</v>
      </c>
      <c r="D300" t="s">
        <v>313</v>
      </c>
      <c r="E300" t="s">
        <v>510</v>
      </c>
      <c r="F300">
        <v>0</v>
      </c>
      <c r="G300">
        <v>0</v>
      </c>
      <c r="H300" t="s">
        <v>794</v>
      </c>
    </row>
    <row r="301" spans="1:8">
      <c r="A301">
        <v>299</v>
      </c>
      <c r="B301" t="s">
        <v>1125</v>
      </c>
      <c r="C301" t="s">
        <v>37</v>
      </c>
      <c r="D301" t="s">
        <v>313</v>
      </c>
      <c r="E301" t="s">
        <v>359</v>
      </c>
      <c r="F301">
        <v>70.650000000000006</v>
      </c>
      <c r="G301">
        <v>72.8</v>
      </c>
      <c r="H301" t="s">
        <v>792</v>
      </c>
    </row>
    <row r="302" spans="1:8">
      <c r="A302">
        <v>300</v>
      </c>
      <c r="B302" t="s">
        <v>1126</v>
      </c>
      <c r="C302" t="s">
        <v>654</v>
      </c>
      <c r="D302" t="s">
        <v>313</v>
      </c>
      <c r="E302" t="s">
        <v>655</v>
      </c>
      <c r="F302">
        <v>75</v>
      </c>
      <c r="G302">
        <v>0</v>
      </c>
      <c r="H302" t="s">
        <v>792</v>
      </c>
    </row>
    <row r="303" spans="1:8">
      <c r="A303">
        <v>301</v>
      </c>
      <c r="B303" t="s">
        <v>1127</v>
      </c>
      <c r="C303" t="s">
        <v>656</v>
      </c>
      <c r="D303" t="s">
        <v>313</v>
      </c>
      <c r="E303" t="s">
        <v>491</v>
      </c>
      <c r="F303">
        <v>85</v>
      </c>
      <c r="G303">
        <v>0</v>
      </c>
      <c r="H303" t="s">
        <v>792</v>
      </c>
    </row>
    <row r="304" spans="1:8">
      <c r="A304">
        <v>302</v>
      </c>
      <c r="B304" t="s">
        <v>1128</v>
      </c>
      <c r="C304" t="s">
        <v>657</v>
      </c>
      <c r="D304" t="s">
        <v>313</v>
      </c>
      <c r="E304" t="s">
        <v>491</v>
      </c>
      <c r="F304">
        <v>0</v>
      </c>
      <c r="G304">
        <v>0</v>
      </c>
      <c r="H304" t="s">
        <v>792</v>
      </c>
    </row>
    <row r="305" spans="1:8">
      <c r="A305">
        <v>303</v>
      </c>
      <c r="B305" t="s">
        <v>1129</v>
      </c>
      <c r="C305" t="s">
        <v>658</v>
      </c>
      <c r="D305" t="s">
        <v>618</v>
      </c>
      <c r="E305" t="s">
        <v>582</v>
      </c>
      <c r="F305">
        <v>0</v>
      </c>
      <c r="G305">
        <v>0</v>
      </c>
      <c r="H305" t="s">
        <v>792</v>
      </c>
    </row>
    <row r="306" spans="1:8">
      <c r="A306">
        <v>304</v>
      </c>
      <c r="B306" t="s">
        <v>1130</v>
      </c>
      <c r="C306" t="s">
        <v>90</v>
      </c>
      <c r="D306" t="s">
        <v>322</v>
      </c>
      <c r="E306" t="s">
        <v>359</v>
      </c>
      <c r="F306">
        <v>0</v>
      </c>
      <c r="G306">
        <v>0</v>
      </c>
      <c r="H306" t="s">
        <v>792</v>
      </c>
    </row>
    <row r="307" spans="1:8">
      <c r="A307">
        <v>305</v>
      </c>
      <c r="B307" t="s">
        <v>1131</v>
      </c>
      <c r="C307" t="s">
        <v>247</v>
      </c>
      <c r="D307" t="s">
        <v>39</v>
      </c>
      <c r="E307" t="s">
        <v>359</v>
      </c>
      <c r="F307">
        <v>72.5</v>
      </c>
      <c r="G307">
        <v>73.25</v>
      </c>
      <c r="H307" t="s">
        <v>794</v>
      </c>
    </row>
    <row r="308" spans="1:8">
      <c r="A308">
        <v>306</v>
      </c>
      <c r="B308" t="s">
        <v>1132</v>
      </c>
      <c r="C308" t="s">
        <v>659</v>
      </c>
      <c r="D308" t="s">
        <v>41</v>
      </c>
      <c r="E308" t="s">
        <v>572</v>
      </c>
      <c r="F308">
        <v>105</v>
      </c>
      <c r="G308">
        <v>0</v>
      </c>
      <c r="H308" t="s">
        <v>794</v>
      </c>
    </row>
    <row r="309" spans="1:8">
      <c r="A309">
        <v>307</v>
      </c>
      <c r="B309" t="s">
        <v>1133</v>
      </c>
      <c r="C309" t="s">
        <v>40</v>
      </c>
      <c r="D309" t="s">
        <v>39</v>
      </c>
      <c r="E309" t="s">
        <v>359</v>
      </c>
      <c r="F309">
        <v>71.45</v>
      </c>
      <c r="G309">
        <v>73.5</v>
      </c>
      <c r="H309" t="s">
        <v>792</v>
      </c>
    </row>
    <row r="310" spans="1:8">
      <c r="A310">
        <v>308</v>
      </c>
      <c r="B310" t="s">
        <v>1134</v>
      </c>
      <c r="C310" t="s">
        <v>220</v>
      </c>
      <c r="D310" t="s">
        <v>303</v>
      </c>
      <c r="E310" t="s">
        <v>353</v>
      </c>
      <c r="F310">
        <v>100</v>
      </c>
      <c r="G310">
        <v>100</v>
      </c>
      <c r="H310" t="s">
        <v>794</v>
      </c>
    </row>
    <row r="311" spans="1:8">
      <c r="A311">
        <v>309</v>
      </c>
      <c r="B311" t="s">
        <v>1135</v>
      </c>
      <c r="C311" t="s">
        <v>244</v>
      </c>
      <c r="D311" t="s">
        <v>303</v>
      </c>
      <c r="E311" t="s">
        <v>359</v>
      </c>
      <c r="F311">
        <v>100</v>
      </c>
      <c r="G311">
        <v>94.65</v>
      </c>
      <c r="H311" t="s">
        <v>794</v>
      </c>
    </row>
    <row r="312" spans="1:8">
      <c r="A312">
        <v>310</v>
      </c>
      <c r="B312" t="s">
        <v>1136</v>
      </c>
      <c r="C312" t="s">
        <v>43</v>
      </c>
      <c r="D312" t="s">
        <v>303</v>
      </c>
      <c r="E312" t="s">
        <v>359</v>
      </c>
      <c r="F312">
        <v>91.95</v>
      </c>
      <c r="G312">
        <v>95.45</v>
      </c>
      <c r="H312" t="s">
        <v>792</v>
      </c>
    </row>
    <row r="313" spans="1:8">
      <c r="A313">
        <v>311</v>
      </c>
      <c r="B313" t="s">
        <v>1137</v>
      </c>
      <c r="C313" t="s">
        <v>660</v>
      </c>
      <c r="D313" t="s">
        <v>41</v>
      </c>
      <c r="E313" t="s">
        <v>582</v>
      </c>
      <c r="F313">
        <v>0</v>
      </c>
      <c r="G313">
        <v>0</v>
      </c>
      <c r="H313" t="s">
        <v>794</v>
      </c>
    </row>
    <row r="314" spans="1:8">
      <c r="A314">
        <v>312</v>
      </c>
      <c r="B314" t="s">
        <v>1138</v>
      </c>
      <c r="C314" t="s">
        <v>661</v>
      </c>
      <c r="D314" t="s">
        <v>41</v>
      </c>
      <c r="E314" t="s">
        <v>582</v>
      </c>
      <c r="F314">
        <v>0</v>
      </c>
      <c r="G314">
        <v>0</v>
      </c>
      <c r="H314" t="s">
        <v>794</v>
      </c>
    </row>
    <row r="315" spans="1:8">
      <c r="A315">
        <v>313</v>
      </c>
      <c r="B315" t="s">
        <v>1139</v>
      </c>
      <c r="C315" t="s">
        <v>662</v>
      </c>
      <c r="D315" t="s">
        <v>41</v>
      </c>
      <c r="E315" t="s">
        <v>663</v>
      </c>
      <c r="F315">
        <v>115</v>
      </c>
      <c r="G315">
        <v>0</v>
      </c>
      <c r="H315" t="s">
        <v>794</v>
      </c>
    </row>
    <row r="316" spans="1:8">
      <c r="A316">
        <v>314</v>
      </c>
      <c r="B316" t="s">
        <v>1140</v>
      </c>
      <c r="C316" t="s">
        <v>169</v>
      </c>
      <c r="D316" t="s">
        <v>303</v>
      </c>
      <c r="E316" t="s">
        <v>339</v>
      </c>
      <c r="F316">
        <v>120.29</v>
      </c>
      <c r="G316">
        <v>102</v>
      </c>
      <c r="H316" t="s">
        <v>794</v>
      </c>
    </row>
    <row r="317" spans="1:8">
      <c r="A317">
        <v>315</v>
      </c>
      <c r="B317" t="s">
        <v>1141</v>
      </c>
      <c r="C317" t="s">
        <v>243</v>
      </c>
      <c r="D317" t="s">
        <v>45</v>
      </c>
      <c r="E317" t="s">
        <v>359</v>
      </c>
      <c r="F317">
        <v>105</v>
      </c>
      <c r="G317">
        <v>107.45</v>
      </c>
      <c r="H317" t="s">
        <v>794</v>
      </c>
    </row>
    <row r="318" spans="1:8">
      <c r="A318">
        <v>316</v>
      </c>
      <c r="B318" t="s">
        <v>1142</v>
      </c>
      <c r="C318" t="s">
        <v>127</v>
      </c>
      <c r="D318" t="s">
        <v>303</v>
      </c>
      <c r="E318" t="s">
        <v>329</v>
      </c>
      <c r="F318">
        <v>110</v>
      </c>
      <c r="G318">
        <v>103</v>
      </c>
      <c r="H318" t="s">
        <v>794</v>
      </c>
    </row>
    <row r="319" spans="1:8">
      <c r="A319">
        <v>317</v>
      </c>
      <c r="B319" t="s">
        <v>1143</v>
      </c>
      <c r="C319" t="s">
        <v>44</v>
      </c>
      <c r="D319" t="s">
        <v>303</v>
      </c>
      <c r="E319" t="s">
        <v>330</v>
      </c>
      <c r="F319">
        <v>117.5</v>
      </c>
      <c r="G319">
        <v>117.5</v>
      </c>
      <c r="H319" t="s">
        <v>792</v>
      </c>
    </row>
    <row r="320" spans="1:8">
      <c r="A320">
        <v>318</v>
      </c>
      <c r="B320" t="s">
        <v>1144</v>
      </c>
      <c r="C320" t="s">
        <v>664</v>
      </c>
      <c r="D320" t="s">
        <v>41</v>
      </c>
      <c r="E320" t="s">
        <v>582</v>
      </c>
      <c r="F320">
        <v>0</v>
      </c>
      <c r="G320">
        <v>0</v>
      </c>
      <c r="H320" t="s">
        <v>792</v>
      </c>
    </row>
    <row r="321" spans="1:8">
      <c r="A321">
        <v>319</v>
      </c>
      <c r="B321" t="s">
        <v>1145</v>
      </c>
      <c r="C321" t="s">
        <v>46</v>
      </c>
      <c r="D321" t="s">
        <v>303</v>
      </c>
      <c r="E321" t="s">
        <v>359</v>
      </c>
      <c r="F321">
        <v>104.65</v>
      </c>
      <c r="G321">
        <v>107.15</v>
      </c>
      <c r="H321" t="s">
        <v>792</v>
      </c>
    </row>
    <row r="322" spans="1:8">
      <c r="A322">
        <v>320</v>
      </c>
      <c r="B322" t="s">
        <v>1146</v>
      </c>
      <c r="C322" t="s">
        <v>665</v>
      </c>
      <c r="D322" t="s">
        <v>45</v>
      </c>
      <c r="E322" t="s">
        <v>666</v>
      </c>
      <c r="F322">
        <v>85</v>
      </c>
      <c r="G322">
        <v>0</v>
      </c>
      <c r="H322" t="s">
        <v>794</v>
      </c>
    </row>
    <row r="323" spans="1:8">
      <c r="A323">
        <v>321</v>
      </c>
      <c r="B323" t="s">
        <v>1147</v>
      </c>
      <c r="C323" t="s">
        <v>667</v>
      </c>
      <c r="D323" t="s">
        <v>41</v>
      </c>
      <c r="E323" t="s">
        <v>668</v>
      </c>
      <c r="F323">
        <v>72.5</v>
      </c>
      <c r="G323">
        <v>0</v>
      </c>
      <c r="H323" t="s">
        <v>792</v>
      </c>
    </row>
    <row r="324" spans="1:8">
      <c r="A324">
        <v>322</v>
      </c>
      <c r="B324" t="s">
        <v>1148</v>
      </c>
      <c r="C324" t="s">
        <v>669</v>
      </c>
      <c r="D324" t="s">
        <v>41</v>
      </c>
      <c r="E324" t="s">
        <v>510</v>
      </c>
      <c r="F324">
        <v>0</v>
      </c>
      <c r="G324">
        <v>0</v>
      </c>
      <c r="H324" t="s">
        <v>794</v>
      </c>
    </row>
    <row r="325" spans="1:8">
      <c r="A325">
        <v>323</v>
      </c>
      <c r="B325" t="s">
        <v>1149</v>
      </c>
      <c r="C325" t="s">
        <v>130</v>
      </c>
      <c r="D325" t="s">
        <v>41</v>
      </c>
      <c r="E325" t="s">
        <v>330</v>
      </c>
      <c r="F325">
        <v>80</v>
      </c>
      <c r="G325">
        <v>77</v>
      </c>
      <c r="H325" t="s">
        <v>794</v>
      </c>
    </row>
    <row r="326" spans="1:8">
      <c r="A326">
        <v>324</v>
      </c>
      <c r="B326" t="s">
        <v>1150</v>
      </c>
      <c r="C326" t="s">
        <v>670</v>
      </c>
      <c r="D326" t="s">
        <v>41</v>
      </c>
      <c r="E326" t="s">
        <v>671</v>
      </c>
      <c r="F326">
        <v>85</v>
      </c>
      <c r="G326">
        <v>0</v>
      </c>
      <c r="H326" t="s">
        <v>794</v>
      </c>
    </row>
    <row r="327" spans="1:8">
      <c r="A327">
        <v>325</v>
      </c>
      <c r="B327" t="s">
        <v>1151</v>
      </c>
      <c r="C327" t="s">
        <v>131</v>
      </c>
      <c r="D327" t="s">
        <v>41</v>
      </c>
      <c r="E327" t="s">
        <v>330</v>
      </c>
      <c r="F327">
        <v>80</v>
      </c>
      <c r="G327">
        <v>77</v>
      </c>
      <c r="H327" t="s">
        <v>794</v>
      </c>
    </row>
    <row r="328" spans="1:8">
      <c r="A328">
        <v>326</v>
      </c>
      <c r="B328" t="s">
        <v>1152</v>
      </c>
      <c r="C328" t="s">
        <v>128</v>
      </c>
      <c r="D328" t="s">
        <v>41</v>
      </c>
      <c r="E328" t="s">
        <v>330</v>
      </c>
      <c r="F328">
        <v>80</v>
      </c>
      <c r="G328">
        <v>77</v>
      </c>
      <c r="H328" t="s">
        <v>794</v>
      </c>
    </row>
    <row r="329" spans="1:8">
      <c r="A329">
        <v>327</v>
      </c>
      <c r="B329" t="s">
        <v>1153</v>
      </c>
      <c r="C329" t="s">
        <v>221</v>
      </c>
      <c r="D329" t="s">
        <v>45</v>
      </c>
      <c r="E329" t="s">
        <v>353</v>
      </c>
      <c r="F329">
        <v>120</v>
      </c>
      <c r="G329">
        <v>107.5</v>
      </c>
      <c r="H329" t="s">
        <v>794</v>
      </c>
    </row>
    <row r="330" spans="1:8">
      <c r="A330">
        <v>328</v>
      </c>
      <c r="B330" t="s">
        <v>1154</v>
      </c>
      <c r="C330" t="s">
        <v>672</v>
      </c>
      <c r="D330" t="s">
        <v>41</v>
      </c>
      <c r="E330" t="s">
        <v>582</v>
      </c>
      <c r="F330">
        <v>83</v>
      </c>
      <c r="G330">
        <v>0</v>
      </c>
      <c r="H330" t="s">
        <v>792</v>
      </c>
    </row>
    <row r="331" spans="1:8">
      <c r="A331">
        <v>329</v>
      </c>
      <c r="B331" t="s">
        <v>1155</v>
      </c>
      <c r="C331" t="s">
        <v>253</v>
      </c>
      <c r="D331" t="s">
        <v>45</v>
      </c>
      <c r="E331" t="s">
        <v>359</v>
      </c>
      <c r="F331">
        <v>87.5</v>
      </c>
      <c r="G331">
        <v>90.45</v>
      </c>
      <c r="H331" t="s">
        <v>794</v>
      </c>
    </row>
    <row r="332" spans="1:8">
      <c r="A332">
        <v>330</v>
      </c>
      <c r="B332" t="s">
        <v>1156</v>
      </c>
      <c r="C332" t="s">
        <v>260</v>
      </c>
      <c r="D332" t="s">
        <v>319</v>
      </c>
      <c r="E332" t="s">
        <v>362</v>
      </c>
      <c r="F332">
        <v>110</v>
      </c>
      <c r="G332">
        <v>82.5</v>
      </c>
      <c r="H332" t="s">
        <v>794</v>
      </c>
    </row>
    <row r="333" spans="1:8">
      <c r="A333">
        <v>331</v>
      </c>
      <c r="B333" t="s">
        <v>1157</v>
      </c>
      <c r="C333" t="s">
        <v>673</v>
      </c>
      <c r="D333" t="s">
        <v>305</v>
      </c>
      <c r="E333" t="s">
        <v>674</v>
      </c>
      <c r="F333">
        <v>85</v>
      </c>
      <c r="G333">
        <v>0</v>
      </c>
      <c r="H333" t="s">
        <v>794</v>
      </c>
    </row>
    <row r="334" spans="1:8">
      <c r="A334">
        <v>332</v>
      </c>
      <c r="B334" t="s">
        <v>1158</v>
      </c>
      <c r="C334" t="s">
        <v>223</v>
      </c>
      <c r="D334" t="s">
        <v>45</v>
      </c>
      <c r="E334" t="s">
        <v>353</v>
      </c>
      <c r="F334">
        <v>115</v>
      </c>
      <c r="G334">
        <v>105</v>
      </c>
      <c r="H334" t="s">
        <v>794</v>
      </c>
    </row>
    <row r="335" spans="1:8">
      <c r="A335">
        <v>333</v>
      </c>
      <c r="B335" t="s">
        <v>1159</v>
      </c>
      <c r="C335" t="s">
        <v>675</v>
      </c>
      <c r="D335" t="s">
        <v>41</v>
      </c>
      <c r="E335" t="s">
        <v>582</v>
      </c>
      <c r="F335">
        <v>79</v>
      </c>
      <c r="G335">
        <v>0</v>
      </c>
      <c r="H335" t="s">
        <v>792</v>
      </c>
    </row>
    <row r="336" spans="1:8">
      <c r="A336">
        <v>334</v>
      </c>
      <c r="B336" t="s">
        <v>1160</v>
      </c>
      <c r="C336" t="s">
        <v>219</v>
      </c>
      <c r="D336" t="s">
        <v>45</v>
      </c>
      <c r="E336" t="s">
        <v>353</v>
      </c>
      <c r="F336">
        <v>115</v>
      </c>
      <c r="G336">
        <v>105</v>
      </c>
      <c r="H336" t="s">
        <v>794</v>
      </c>
    </row>
    <row r="337" spans="1:8">
      <c r="A337">
        <v>335</v>
      </c>
      <c r="B337" t="s">
        <v>1161</v>
      </c>
      <c r="C337" t="s">
        <v>47</v>
      </c>
      <c r="D337" t="s">
        <v>42</v>
      </c>
      <c r="E337" t="s">
        <v>339</v>
      </c>
      <c r="F337">
        <v>92.5</v>
      </c>
      <c r="G337">
        <v>105</v>
      </c>
      <c r="H337" t="s">
        <v>792</v>
      </c>
    </row>
    <row r="338" spans="1:8">
      <c r="A338">
        <v>336</v>
      </c>
      <c r="B338" t="s">
        <v>1162</v>
      </c>
      <c r="C338" t="s">
        <v>222</v>
      </c>
      <c r="D338" t="s">
        <v>45</v>
      </c>
      <c r="E338" t="s">
        <v>353</v>
      </c>
      <c r="F338">
        <v>110</v>
      </c>
      <c r="G338">
        <v>101</v>
      </c>
      <c r="H338" t="s">
        <v>794</v>
      </c>
    </row>
    <row r="339" spans="1:8">
      <c r="A339">
        <v>337</v>
      </c>
      <c r="B339" t="s">
        <v>1163</v>
      </c>
      <c r="C339" t="s">
        <v>242</v>
      </c>
      <c r="D339" t="s">
        <v>42</v>
      </c>
      <c r="E339" t="s">
        <v>359</v>
      </c>
      <c r="F339">
        <v>0</v>
      </c>
      <c r="G339">
        <v>113.95</v>
      </c>
      <c r="H339" t="s">
        <v>794</v>
      </c>
    </row>
    <row r="340" spans="1:8">
      <c r="A340">
        <v>338</v>
      </c>
      <c r="B340" t="s">
        <v>1164</v>
      </c>
      <c r="C340" t="s">
        <v>676</v>
      </c>
      <c r="D340" t="s">
        <v>48</v>
      </c>
      <c r="E340" t="s">
        <v>584</v>
      </c>
      <c r="F340">
        <v>97.5</v>
      </c>
      <c r="G340">
        <v>0</v>
      </c>
      <c r="H340" t="s">
        <v>792</v>
      </c>
    </row>
    <row r="341" spans="1:8">
      <c r="A341">
        <v>339</v>
      </c>
      <c r="B341" t="s">
        <v>1165</v>
      </c>
      <c r="C341" t="s">
        <v>677</v>
      </c>
      <c r="D341" t="s">
        <v>48</v>
      </c>
      <c r="E341" t="s">
        <v>491</v>
      </c>
      <c r="F341">
        <v>94</v>
      </c>
      <c r="G341">
        <v>0</v>
      </c>
      <c r="H341" t="s">
        <v>792</v>
      </c>
    </row>
    <row r="342" spans="1:8">
      <c r="A342">
        <v>340</v>
      </c>
      <c r="B342" t="s">
        <v>1166</v>
      </c>
      <c r="C342" t="s">
        <v>678</v>
      </c>
      <c r="D342" t="s">
        <v>48</v>
      </c>
      <c r="E342" t="s">
        <v>679</v>
      </c>
      <c r="F342">
        <v>99</v>
      </c>
      <c r="G342">
        <v>0</v>
      </c>
      <c r="H342" t="s">
        <v>792</v>
      </c>
    </row>
    <row r="343" spans="1:8">
      <c r="A343">
        <v>341</v>
      </c>
      <c r="B343" t="s">
        <v>1167</v>
      </c>
      <c r="C343" t="s">
        <v>680</v>
      </c>
      <c r="D343" t="s">
        <v>48</v>
      </c>
      <c r="E343" t="s">
        <v>491</v>
      </c>
      <c r="F343">
        <v>100</v>
      </c>
      <c r="G343">
        <v>0</v>
      </c>
      <c r="H343" t="s">
        <v>792</v>
      </c>
    </row>
    <row r="344" spans="1:8">
      <c r="A344">
        <v>342</v>
      </c>
      <c r="B344" t="s">
        <v>1168</v>
      </c>
      <c r="C344" t="s">
        <v>681</v>
      </c>
      <c r="D344" t="s">
        <v>48</v>
      </c>
      <c r="E344" t="s">
        <v>682</v>
      </c>
      <c r="F344">
        <v>95</v>
      </c>
      <c r="G344">
        <v>0</v>
      </c>
      <c r="H344" t="s">
        <v>794</v>
      </c>
    </row>
    <row r="345" spans="1:8">
      <c r="A345">
        <v>343</v>
      </c>
      <c r="B345" t="s">
        <v>1169</v>
      </c>
      <c r="C345" t="s">
        <v>683</v>
      </c>
      <c r="D345" t="s">
        <v>48</v>
      </c>
      <c r="E345" t="s">
        <v>491</v>
      </c>
      <c r="F345">
        <v>100</v>
      </c>
      <c r="G345">
        <v>0</v>
      </c>
      <c r="H345" t="s">
        <v>792</v>
      </c>
    </row>
    <row r="346" spans="1:8">
      <c r="A346">
        <v>344</v>
      </c>
      <c r="B346" t="s">
        <v>1170</v>
      </c>
      <c r="C346" t="s">
        <v>252</v>
      </c>
      <c r="D346" t="s">
        <v>39</v>
      </c>
      <c r="E346" t="s">
        <v>359</v>
      </c>
      <c r="F346">
        <v>0</v>
      </c>
      <c r="G346">
        <v>81.45</v>
      </c>
      <c r="H346" t="s">
        <v>794</v>
      </c>
    </row>
    <row r="347" spans="1:8">
      <c r="A347">
        <v>345</v>
      </c>
      <c r="B347" t="s">
        <v>1171</v>
      </c>
      <c r="C347" t="s">
        <v>277</v>
      </c>
      <c r="D347" t="s">
        <v>48</v>
      </c>
      <c r="E347" t="s">
        <v>366</v>
      </c>
      <c r="F347">
        <v>90</v>
      </c>
      <c r="G347">
        <v>94.15</v>
      </c>
      <c r="H347" t="s">
        <v>794</v>
      </c>
    </row>
    <row r="348" spans="1:8">
      <c r="A348">
        <v>346</v>
      </c>
      <c r="B348" t="s">
        <v>1172</v>
      </c>
      <c r="C348" t="s">
        <v>470</v>
      </c>
      <c r="D348" t="s">
        <v>48</v>
      </c>
      <c r="E348" t="s">
        <v>330</v>
      </c>
      <c r="F348">
        <v>110</v>
      </c>
      <c r="G348">
        <v>0</v>
      </c>
      <c r="H348" t="s">
        <v>794</v>
      </c>
    </row>
    <row r="349" spans="1:8">
      <c r="A349">
        <v>347</v>
      </c>
      <c r="B349" t="s">
        <v>1173</v>
      </c>
      <c r="C349" t="s">
        <v>168</v>
      </c>
      <c r="D349" t="s">
        <v>310</v>
      </c>
      <c r="E349" t="s">
        <v>339</v>
      </c>
      <c r="F349">
        <v>101</v>
      </c>
      <c r="G349">
        <v>97.5</v>
      </c>
      <c r="H349" t="s">
        <v>794</v>
      </c>
    </row>
    <row r="350" spans="1:8">
      <c r="A350">
        <v>348</v>
      </c>
      <c r="B350" t="s">
        <v>1174</v>
      </c>
      <c r="C350" t="s">
        <v>274</v>
      </c>
      <c r="D350" t="s">
        <v>310</v>
      </c>
      <c r="E350" t="s">
        <v>365</v>
      </c>
      <c r="F350">
        <v>120</v>
      </c>
      <c r="G350">
        <v>116.75</v>
      </c>
      <c r="H350" t="s">
        <v>794</v>
      </c>
    </row>
    <row r="351" spans="1:8">
      <c r="A351">
        <v>349</v>
      </c>
      <c r="B351" t="s">
        <v>1175</v>
      </c>
      <c r="C351" t="s">
        <v>92</v>
      </c>
      <c r="D351" t="s">
        <v>310</v>
      </c>
      <c r="E351" t="s">
        <v>365</v>
      </c>
      <c r="F351">
        <v>94.25</v>
      </c>
      <c r="G351">
        <v>96.75</v>
      </c>
      <c r="H351" t="s">
        <v>792</v>
      </c>
    </row>
    <row r="352" spans="1:8">
      <c r="A352">
        <v>350</v>
      </c>
      <c r="B352" t="s">
        <v>1176</v>
      </c>
      <c r="C352" t="s">
        <v>684</v>
      </c>
      <c r="D352" t="s">
        <v>299</v>
      </c>
      <c r="E352" t="s">
        <v>491</v>
      </c>
      <c r="F352">
        <v>0</v>
      </c>
      <c r="G352">
        <v>0</v>
      </c>
      <c r="H352" t="s">
        <v>792</v>
      </c>
    </row>
    <row r="353" spans="1:8">
      <c r="A353">
        <v>351</v>
      </c>
      <c r="B353" t="s">
        <v>1177</v>
      </c>
      <c r="C353" t="s">
        <v>261</v>
      </c>
      <c r="D353" t="s">
        <v>45</v>
      </c>
      <c r="E353" t="s">
        <v>362</v>
      </c>
      <c r="F353">
        <v>155</v>
      </c>
      <c r="G353">
        <v>125</v>
      </c>
      <c r="H353" t="s">
        <v>794</v>
      </c>
    </row>
    <row r="354" spans="1:8">
      <c r="A354">
        <v>352</v>
      </c>
      <c r="B354" t="s">
        <v>1178</v>
      </c>
      <c r="C354" t="s">
        <v>49</v>
      </c>
      <c r="D354" t="s">
        <v>310</v>
      </c>
      <c r="E354" t="s">
        <v>365</v>
      </c>
      <c r="F354">
        <v>0</v>
      </c>
      <c r="G354">
        <v>0</v>
      </c>
      <c r="H354" t="s">
        <v>792</v>
      </c>
    </row>
    <row r="355" spans="1:8">
      <c r="A355">
        <v>353</v>
      </c>
      <c r="B355" t="s">
        <v>1179</v>
      </c>
      <c r="C355" t="s">
        <v>685</v>
      </c>
      <c r="D355" t="s">
        <v>45</v>
      </c>
      <c r="E355" t="s">
        <v>686</v>
      </c>
      <c r="F355">
        <v>110</v>
      </c>
      <c r="G355">
        <v>0</v>
      </c>
      <c r="H355" t="s">
        <v>794</v>
      </c>
    </row>
    <row r="356" spans="1:8">
      <c r="A356">
        <v>354</v>
      </c>
      <c r="B356" t="s">
        <v>1180</v>
      </c>
      <c r="C356" t="s">
        <v>687</v>
      </c>
      <c r="D356" t="s">
        <v>42</v>
      </c>
      <c r="E356" t="s">
        <v>688</v>
      </c>
      <c r="F356">
        <v>0</v>
      </c>
      <c r="G356">
        <v>0</v>
      </c>
      <c r="H356" t="s">
        <v>792</v>
      </c>
    </row>
    <row r="357" spans="1:8">
      <c r="A357">
        <v>355</v>
      </c>
      <c r="B357" t="s">
        <v>1181</v>
      </c>
      <c r="C357" t="s">
        <v>93</v>
      </c>
      <c r="D357" t="s">
        <v>319</v>
      </c>
      <c r="E357" t="s">
        <v>353</v>
      </c>
      <c r="F357">
        <v>125.25</v>
      </c>
      <c r="G357">
        <v>126.75</v>
      </c>
      <c r="H357" t="s">
        <v>792</v>
      </c>
    </row>
    <row r="358" spans="1:8">
      <c r="A358">
        <v>356</v>
      </c>
      <c r="B358" t="s">
        <v>1182</v>
      </c>
      <c r="C358" t="s">
        <v>689</v>
      </c>
      <c r="D358" t="s">
        <v>690</v>
      </c>
      <c r="E358" t="s">
        <v>691</v>
      </c>
      <c r="F358">
        <v>0</v>
      </c>
      <c r="G358">
        <v>0</v>
      </c>
      <c r="H358" t="s">
        <v>792</v>
      </c>
    </row>
    <row r="359" spans="1:8">
      <c r="A359">
        <v>357</v>
      </c>
      <c r="B359" t="s">
        <v>1183</v>
      </c>
      <c r="C359" t="s">
        <v>692</v>
      </c>
      <c r="D359" t="s">
        <v>690</v>
      </c>
      <c r="E359" t="s">
        <v>691</v>
      </c>
      <c r="F359">
        <v>0</v>
      </c>
      <c r="G359">
        <v>0</v>
      </c>
      <c r="H359" t="s">
        <v>792</v>
      </c>
    </row>
    <row r="360" spans="1:8">
      <c r="A360">
        <v>358</v>
      </c>
      <c r="B360" t="s">
        <v>1184</v>
      </c>
      <c r="C360" t="s">
        <v>693</v>
      </c>
      <c r="D360" t="s">
        <v>690</v>
      </c>
      <c r="E360" t="s">
        <v>691</v>
      </c>
      <c r="F360">
        <v>34.950000000000003</v>
      </c>
      <c r="G360">
        <v>0</v>
      </c>
      <c r="H360" t="s">
        <v>792</v>
      </c>
    </row>
    <row r="361" spans="1:8">
      <c r="A361">
        <v>359</v>
      </c>
      <c r="B361" t="s">
        <v>1185</v>
      </c>
      <c r="C361" t="s">
        <v>694</v>
      </c>
      <c r="D361" t="s">
        <v>695</v>
      </c>
      <c r="E361" t="s">
        <v>691</v>
      </c>
      <c r="F361">
        <v>76</v>
      </c>
      <c r="G361">
        <v>0</v>
      </c>
      <c r="H361" t="s">
        <v>794</v>
      </c>
    </row>
    <row r="362" spans="1:8">
      <c r="A362">
        <v>360</v>
      </c>
      <c r="B362" t="s">
        <v>1186</v>
      </c>
      <c r="C362" t="s">
        <v>697</v>
      </c>
      <c r="D362" t="s">
        <v>695</v>
      </c>
      <c r="E362" t="s">
        <v>691</v>
      </c>
      <c r="F362">
        <v>39</v>
      </c>
      <c r="G362">
        <v>0</v>
      </c>
      <c r="H362" t="s">
        <v>794</v>
      </c>
    </row>
    <row r="363" spans="1:8">
      <c r="A363">
        <v>361</v>
      </c>
      <c r="B363" t="s">
        <v>1187</v>
      </c>
      <c r="C363" t="s">
        <v>696</v>
      </c>
      <c r="D363" t="s">
        <v>695</v>
      </c>
      <c r="E363" t="s">
        <v>691</v>
      </c>
      <c r="F363">
        <v>38.549999999999997</v>
      </c>
      <c r="G363">
        <v>0</v>
      </c>
      <c r="H363" t="s">
        <v>792</v>
      </c>
    </row>
    <row r="364" spans="1:8">
      <c r="A364">
        <v>362</v>
      </c>
      <c r="B364" t="s">
        <v>1188</v>
      </c>
      <c r="C364" t="s">
        <v>698</v>
      </c>
      <c r="D364" t="s">
        <v>315</v>
      </c>
      <c r="E364" t="s">
        <v>699</v>
      </c>
      <c r="F364">
        <v>0</v>
      </c>
      <c r="G364">
        <v>0</v>
      </c>
      <c r="H364" t="s">
        <v>794</v>
      </c>
    </row>
    <row r="365" spans="1:8">
      <c r="A365">
        <v>363</v>
      </c>
      <c r="B365" t="s">
        <v>1189</v>
      </c>
      <c r="C365" t="s">
        <v>703</v>
      </c>
      <c r="D365" t="s">
        <v>701</v>
      </c>
      <c r="E365" t="s">
        <v>704</v>
      </c>
      <c r="F365">
        <v>0</v>
      </c>
      <c r="G365">
        <v>0</v>
      </c>
      <c r="H365" t="s">
        <v>794</v>
      </c>
    </row>
    <row r="366" spans="1:8">
      <c r="A366">
        <v>364</v>
      </c>
      <c r="B366" t="s">
        <v>1190</v>
      </c>
      <c r="C366" t="s">
        <v>700</v>
      </c>
      <c r="D366" t="s">
        <v>701</v>
      </c>
      <c r="E366" t="s">
        <v>702</v>
      </c>
      <c r="F366">
        <v>80</v>
      </c>
      <c r="G366">
        <v>0</v>
      </c>
      <c r="H366" t="s">
        <v>794</v>
      </c>
    </row>
    <row r="367" spans="1:8">
      <c r="A367">
        <v>365</v>
      </c>
      <c r="B367" t="s">
        <v>1191</v>
      </c>
      <c r="C367" t="s">
        <v>94</v>
      </c>
      <c r="D367" t="s">
        <v>299</v>
      </c>
      <c r="E367" t="s">
        <v>366</v>
      </c>
      <c r="F367">
        <v>84.1</v>
      </c>
      <c r="G367">
        <v>86.55</v>
      </c>
      <c r="H367" t="s">
        <v>792</v>
      </c>
    </row>
    <row r="368" spans="1:8">
      <c r="A368">
        <v>366</v>
      </c>
      <c r="B368" t="s">
        <v>1192</v>
      </c>
      <c r="C368" t="s">
        <v>1193</v>
      </c>
      <c r="D368" t="s">
        <v>701</v>
      </c>
      <c r="E368" t="s">
        <v>699</v>
      </c>
      <c r="F368">
        <v>106.6</v>
      </c>
      <c r="G368">
        <v>0</v>
      </c>
      <c r="H368" t="s">
        <v>792</v>
      </c>
    </row>
    <row r="369" spans="1:8">
      <c r="A369">
        <v>367</v>
      </c>
      <c r="B369" t="s">
        <v>1194</v>
      </c>
      <c r="C369" t="s">
        <v>95</v>
      </c>
      <c r="D369" t="s">
        <v>299</v>
      </c>
      <c r="E369" t="s">
        <v>942</v>
      </c>
      <c r="F369">
        <v>91</v>
      </c>
      <c r="G369">
        <v>93</v>
      </c>
      <c r="H369" t="s">
        <v>792</v>
      </c>
    </row>
    <row r="370" spans="1:8">
      <c r="A370">
        <v>368</v>
      </c>
      <c r="B370" t="s">
        <v>1195</v>
      </c>
      <c r="C370" t="s">
        <v>1196</v>
      </c>
      <c r="D370" t="s">
        <v>701</v>
      </c>
      <c r="E370" t="s">
        <v>704</v>
      </c>
      <c r="F370">
        <v>0</v>
      </c>
      <c r="G370">
        <v>0</v>
      </c>
      <c r="H370" t="s">
        <v>794</v>
      </c>
    </row>
    <row r="371" spans="1:8">
      <c r="A371">
        <v>369</v>
      </c>
      <c r="B371" t="s">
        <v>1197</v>
      </c>
      <c r="C371" t="s">
        <v>121</v>
      </c>
      <c r="D371" t="s">
        <v>299</v>
      </c>
      <c r="E371" t="s">
        <v>942</v>
      </c>
      <c r="F371">
        <v>95</v>
      </c>
      <c r="G371">
        <v>93</v>
      </c>
      <c r="H371" t="s">
        <v>794</v>
      </c>
    </row>
    <row r="372" spans="1:8">
      <c r="A372">
        <v>370</v>
      </c>
      <c r="B372" t="s">
        <v>1198</v>
      </c>
      <c r="C372" t="s">
        <v>279</v>
      </c>
      <c r="D372" t="s">
        <v>299</v>
      </c>
      <c r="E372" t="s">
        <v>366</v>
      </c>
      <c r="F372">
        <v>80</v>
      </c>
      <c r="G372">
        <v>86.55</v>
      </c>
      <c r="H372" t="s">
        <v>794</v>
      </c>
    </row>
    <row r="373" spans="1:8">
      <c r="A373">
        <v>371</v>
      </c>
      <c r="B373" t="s">
        <v>1199</v>
      </c>
      <c r="C373" t="s">
        <v>196</v>
      </c>
      <c r="D373" t="s">
        <v>299</v>
      </c>
      <c r="E373" t="s">
        <v>347</v>
      </c>
      <c r="F373">
        <v>110</v>
      </c>
      <c r="G373">
        <v>100</v>
      </c>
      <c r="H373" t="s">
        <v>794</v>
      </c>
    </row>
    <row r="374" spans="1:8">
      <c r="A374">
        <v>372</v>
      </c>
      <c r="B374" t="s">
        <v>1200</v>
      </c>
      <c r="C374" t="s">
        <v>705</v>
      </c>
      <c r="D374" t="s">
        <v>299</v>
      </c>
      <c r="E374" t="s">
        <v>699</v>
      </c>
      <c r="F374">
        <v>89.6</v>
      </c>
      <c r="G374">
        <v>0</v>
      </c>
      <c r="H374" t="s">
        <v>792</v>
      </c>
    </row>
    <row r="375" spans="1:8">
      <c r="A375">
        <v>373</v>
      </c>
      <c r="B375" t="s">
        <v>1201</v>
      </c>
      <c r="C375" t="s">
        <v>122</v>
      </c>
      <c r="D375" t="s">
        <v>299</v>
      </c>
      <c r="E375" t="s">
        <v>942</v>
      </c>
      <c r="F375">
        <v>95</v>
      </c>
      <c r="G375">
        <v>93</v>
      </c>
      <c r="H375" t="s">
        <v>794</v>
      </c>
    </row>
    <row r="376" spans="1:8">
      <c r="A376">
        <v>374</v>
      </c>
      <c r="B376" t="s">
        <v>1202</v>
      </c>
      <c r="C376" t="s">
        <v>706</v>
      </c>
      <c r="D376" t="s">
        <v>323</v>
      </c>
      <c r="E376" t="s">
        <v>707</v>
      </c>
      <c r="F376">
        <v>85</v>
      </c>
      <c r="G376">
        <v>0</v>
      </c>
      <c r="H376" t="s">
        <v>794</v>
      </c>
    </row>
    <row r="377" spans="1:8">
      <c r="A377">
        <v>375</v>
      </c>
      <c r="B377" t="s">
        <v>1203</v>
      </c>
      <c r="C377" t="s">
        <v>708</v>
      </c>
      <c r="D377" t="s">
        <v>323</v>
      </c>
      <c r="E377" t="s">
        <v>707</v>
      </c>
      <c r="F377">
        <v>85.7</v>
      </c>
      <c r="G377">
        <v>0</v>
      </c>
      <c r="H377" t="s">
        <v>792</v>
      </c>
    </row>
    <row r="378" spans="1:8">
      <c r="A378">
        <v>376</v>
      </c>
      <c r="B378" t="s">
        <v>1204</v>
      </c>
      <c r="C378" t="s">
        <v>709</v>
      </c>
      <c r="D378" t="s">
        <v>323</v>
      </c>
      <c r="E378" t="s">
        <v>707</v>
      </c>
      <c r="F378">
        <v>85</v>
      </c>
      <c r="G378">
        <v>0</v>
      </c>
      <c r="H378" t="s">
        <v>794</v>
      </c>
    </row>
    <row r="379" spans="1:8">
      <c r="A379">
        <v>377</v>
      </c>
      <c r="B379" t="s">
        <v>1205</v>
      </c>
      <c r="C379" t="s">
        <v>710</v>
      </c>
      <c r="D379" t="s">
        <v>323</v>
      </c>
      <c r="E379" t="s">
        <v>711</v>
      </c>
      <c r="F379">
        <v>77.849999999999994</v>
      </c>
      <c r="G379">
        <v>0</v>
      </c>
      <c r="H379" t="s">
        <v>792</v>
      </c>
    </row>
    <row r="380" spans="1:8">
      <c r="A380">
        <v>378</v>
      </c>
      <c r="B380" t="s">
        <v>1206</v>
      </c>
      <c r="C380" t="s">
        <v>287</v>
      </c>
      <c r="D380" t="s">
        <v>323</v>
      </c>
      <c r="E380" t="s">
        <v>369</v>
      </c>
      <c r="F380">
        <v>110</v>
      </c>
      <c r="G380">
        <v>83.1</v>
      </c>
      <c r="H380" t="s">
        <v>794</v>
      </c>
    </row>
    <row r="381" spans="1:8">
      <c r="A381">
        <v>379</v>
      </c>
      <c r="B381" t="s">
        <v>1207</v>
      </c>
      <c r="C381" t="s">
        <v>712</v>
      </c>
      <c r="D381" t="s">
        <v>323</v>
      </c>
      <c r="E381" t="s">
        <v>713</v>
      </c>
      <c r="F381">
        <v>75</v>
      </c>
      <c r="G381">
        <v>0</v>
      </c>
      <c r="H381" t="s">
        <v>794</v>
      </c>
    </row>
    <row r="382" spans="1:8">
      <c r="A382">
        <v>380</v>
      </c>
      <c r="B382" t="s">
        <v>1208</v>
      </c>
      <c r="C382" t="s">
        <v>286</v>
      </c>
      <c r="D382" t="s">
        <v>323</v>
      </c>
      <c r="E382" t="s">
        <v>369</v>
      </c>
      <c r="F382">
        <v>120</v>
      </c>
      <c r="G382">
        <v>83.1</v>
      </c>
      <c r="H382" t="s">
        <v>794</v>
      </c>
    </row>
    <row r="383" spans="1:8">
      <c r="A383">
        <v>381</v>
      </c>
      <c r="B383" t="s">
        <v>1209</v>
      </c>
      <c r="C383" t="s">
        <v>290</v>
      </c>
      <c r="D383" t="s">
        <v>323</v>
      </c>
      <c r="E383" t="s">
        <v>369</v>
      </c>
      <c r="F383">
        <v>120</v>
      </c>
      <c r="G383">
        <v>83.1</v>
      </c>
      <c r="H383" t="s">
        <v>794</v>
      </c>
    </row>
    <row r="384" spans="1:8">
      <c r="A384">
        <v>382</v>
      </c>
      <c r="B384" t="s">
        <v>1210</v>
      </c>
      <c r="C384" t="s">
        <v>285</v>
      </c>
      <c r="D384" t="s">
        <v>323</v>
      </c>
      <c r="E384" t="s">
        <v>369</v>
      </c>
      <c r="F384">
        <v>120</v>
      </c>
      <c r="G384">
        <v>83.1</v>
      </c>
      <c r="H384" t="s">
        <v>794</v>
      </c>
    </row>
    <row r="385" spans="1:8">
      <c r="A385">
        <v>383</v>
      </c>
      <c r="B385" t="s">
        <v>1211</v>
      </c>
      <c r="C385" t="s">
        <v>714</v>
      </c>
      <c r="D385" t="s">
        <v>323</v>
      </c>
      <c r="E385" t="s">
        <v>711</v>
      </c>
      <c r="F385">
        <v>65.5</v>
      </c>
      <c r="G385">
        <v>0</v>
      </c>
      <c r="H385" t="s">
        <v>794</v>
      </c>
    </row>
    <row r="386" spans="1:8">
      <c r="A386">
        <v>384</v>
      </c>
      <c r="B386" t="s">
        <v>1212</v>
      </c>
      <c r="C386" t="s">
        <v>292</v>
      </c>
      <c r="D386" t="s">
        <v>323</v>
      </c>
      <c r="E386" t="s">
        <v>369</v>
      </c>
      <c r="F386">
        <v>100</v>
      </c>
      <c r="G386">
        <v>73.099999999999994</v>
      </c>
      <c r="H386" t="s">
        <v>794</v>
      </c>
    </row>
    <row r="387" spans="1:8">
      <c r="A387">
        <v>385</v>
      </c>
      <c r="B387" t="s">
        <v>1213</v>
      </c>
      <c r="C387" t="s">
        <v>715</v>
      </c>
      <c r="D387" t="s">
        <v>323</v>
      </c>
      <c r="E387" t="s">
        <v>711</v>
      </c>
      <c r="F387">
        <v>0</v>
      </c>
      <c r="G387">
        <v>0</v>
      </c>
      <c r="H387" t="s">
        <v>792</v>
      </c>
    </row>
    <row r="388" spans="1:8">
      <c r="A388">
        <v>386</v>
      </c>
      <c r="B388" t="s">
        <v>1214</v>
      </c>
      <c r="C388" t="s">
        <v>716</v>
      </c>
      <c r="D388" t="s">
        <v>323</v>
      </c>
      <c r="E388" t="s">
        <v>711</v>
      </c>
      <c r="F388">
        <v>0</v>
      </c>
      <c r="G388">
        <v>0</v>
      </c>
      <c r="H388" t="s">
        <v>794</v>
      </c>
    </row>
    <row r="389" spans="1:8">
      <c r="A389">
        <v>387</v>
      </c>
      <c r="B389" t="s">
        <v>1215</v>
      </c>
      <c r="C389" t="s">
        <v>289</v>
      </c>
      <c r="D389" t="s">
        <v>323</v>
      </c>
      <c r="E389" t="s">
        <v>369</v>
      </c>
      <c r="F389">
        <v>100</v>
      </c>
      <c r="G389">
        <v>77.099999999999994</v>
      </c>
      <c r="H389" t="s">
        <v>794</v>
      </c>
    </row>
    <row r="390" spans="1:8">
      <c r="A390">
        <v>388</v>
      </c>
      <c r="B390" t="s">
        <v>1216</v>
      </c>
      <c r="C390" t="s">
        <v>717</v>
      </c>
      <c r="D390" t="s">
        <v>323</v>
      </c>
      <c r="E390" t="s">
        <v>711</v>
      </c>
      <c r="F390">
        <v>0</v>
      </c>
      <c r="G390">
        <v>0</v>
      </c>
      <c r="H390" t="s">
        <v>794</v>
      </c>
    </row>
    <row r="391" spans="1:8">
      <c r="A391">
        <v>389</v>
      </c>
      <c r="B391" t="s">
        <v>1217</v>
      </c>
      <c r="C391" t="s">
        <v>718</v>
      </c>
      <c r="D391" t="s">
        <v>323</v>
      </c>
      <c r="E391" t="s">
        <v>711</v>
      </c>
      <c r="F391">
        <v>63.6</v>
      </c>
      <c r="G391">
        <v>0</v>
      </c>
      <c r="H391" t="s">
        <v>792</v>
      </c>
    </row>
    <row r="392" spans="1:8">
      <c r="A392">
        <v>390</v>
      </c>
      <c r="B392" t="s">
        <v>1218</v>
      </c>
      <c r="C392" t="s">
        <v>719</v>
      </c>
      <c r="D392" t="s">
        <v>323</v>
      </c>
      <c r="E392" t="s">
        <v>711</v>
      </c>
      <c r="F392">
        <v>65.400000000000006</v>
      </c>
      <c r="G392">
        <v>0</v>
      </c>
      <c r="H392" t="s">
        <v>792</v>
      </c>
    </row>
    <row r="393" spans="1:8">
      <c r="A393">
        <v>391</v>
      </c>
      <c r="B393" t="s">
        <v>1219</v>
      </c>
      <c r="C393" t="s">
        <v>720</v>
      </c>
      <c r="D393" t="s">
        <v>323</v>
      </c>
      <c r="E393" t="s">
        <v>711</v>
      </c>
      <c r="F393">
        <v>59.5</v>
      </c>
      <c r="G393">
        <v>0</v>
      </c>
      <c r="H393" t="s">
        <v>794</v>
      </c>
    </row>
    <row r="394" spans="1:8">
      <c r="A394">
        <v>392</v>
      </c>
      <c r="B394" t="s">
        <v>1220</v>
      </c>
      <c r="C394" t="s">
        <v>721</v>
      </c>
      <c r="D394" t="s">
        <v>323</v>
      </c>
      <c r="E394" t="s">
        <v>711</v>
      </c>
      <c r="F394">
        <v>65.400000000000006</v>
      </c>
      <c r="G394">
        <v>0</v>
      </c>
      <c r="H394" t="s">
        <v>792</v>
      </c>
    </row>
    <row r="395" spans="1:8">
      <c r="A395">
        <v>393</v>
      </c>
      <c r="B395" t="s">
        <v>1221</v>
      </c>
      <c r="C395" t="s">
        <v>722</v>
      </c>
      <c r="D395" t="s">
        <v>323</v>
      </c>
      <c r="E395" t="s">
        <v>711</v>
      </c>
      <c r="F395">
        <v>73.5</v>
      </c>
      <c r="G395">
        <v>0</v>
      </c>
      <c r="H395" t="s">
        <v>792</v>
      </c>
    </row>
    <row r="396" spans="1:8">
      <c r="A396">
        <v>394</v>
      </c>
      <c r="B396" t="s">
        <v>1222</v>
      </c>
      <c r="C396" t="s">
        <v>723</v>
      </c>
      <c r="D396" t="s">
        <v>323</v>
      </c>
      <c r="E396" t="s">
        <v>711</v>
      </c>
      <c r="F396">
        <v>63</v>
      </c>
      <c r="G396">
        <v>0</v>
      </c>
      <c r="H396" t="s">
        <v>794</v>
      </c>
    </row>
    <row r="397" spans="1:8">
      <c r="A397">
        <v>395</v>
      </c>
      <c r="B397" t="s">
        <v>1223</v>
      </c>
      <c r="C397" t="s">
        <v>724</v>
      </c>
      <c r="D397" t="s">
        <v>323</v>
      </c>
      <c r="E397" t="s">
        <v>725</v>
      </c>
      <c r="F397">
        <v>64.2</v>
      </c>
      <c r="G397">
        <v>0</v>
      </c>
      <c r="H397" t="s">
        <v>792</v>
      </c>
    </row>
    <row r="398" spans="1:8">
      <c r="A398">
        <v>396</v>
      </c>
      <c r="B398" t="s">
        <v>1224</v>
      </c>
      <c r="C398" t="s">
        <v>726</v>
      </c>
      <c r="D398" t="s">
        <v>307</v>
      </c>
      <c r="E398" t="s">
        <v>711</v>
      </c>
      <c r="F398">
        <v>66.599999999999994</v>
      </c>
      <c r="G398">
        <v>0</v>
      </c>
      <c r="H398" t="s">
        <v>792</v>
      </c>
    </row>
    <row r="399" spans="1:8">
      <c r="A399">
        <v>397</v>
      </c>
      <c r="B399" t="s">
        <v>1225</v>
      </c>
      <c r="C399" t="s">
        <v>288</v>
      </c>
      <c r="D399" t="s">
        <v>323</v>
      </c>
      <c r="E399" t="s">
        <v>369</v>
      </c>
      <c r="F399">
        <v>110</v>
      </c>
      <c r="G399">
        <v>83.1</v>
      </c>
      <c r="H399" t="s">
        <v>794</v>
      </c>
    </row>
    <row r="400" spans="1:8">
      <c r="A400">
        <v>398</v>
      </c>
      <c r="B400" t="s">
        <v>1226</v>
      </c>
      <c r="C400" t="s">
        <v>727</v>
      </c>
      <c r="D400" t="s">
        <v>323</v>
      </c>
      <c r="E400" t="s">
        <v>711</v>
      </c>
      <c r="F400">
        <v>74.5</v>
      </c>
      <c r="G400">
        <v>0</v>
      </c>
      <c r="H400" t="s">
        <v>794</v>
      </c>
    </row>
    <row r="401" spans="1:8">
      <c r="A401">
        <v>399</v>
      </c>
      <c r="B401" t="s">
        <v>1227</v>
      </c>
      <c r="C401" t="s">
        <v>728</v>
      </c>
      <c r="D401" t="s">
        <v>323</v>
      </c>
      <c r="E401" t="s">
        <v>711</v>
      </c>
      <c r="F401">
        <v>64</v>
      </c>
      <c r="G401">
        <v>0</v>
      </c>
      <c r="H401" t="s">
        <v>794</v>
      </c>
    </row>
    <row r="402" spans="1:8">
      <c r="A402">
        <v>400</v>
      </c>
      <c r="B402" t="s">
        <v>1228</v>
      </c>
      <c r="C402" t="s">
        <v>729</v>
      </c>
      <c r="D402" t="s">
        <v>323</v>
      </c>
      <c r="E402" t="s">
        <v>711</v>
      </c>
      <c r="F402">
        <v>72.2</v>
      </c>
      <c r="G402">
        <v>0</v>
      </c>
      <c r="H402" t="s">
        <v>792</v>
      </c>
    </row>
    <row r="403" spans="1:8">
      <c r="A403">
        <v>401</v>
      </c>
      <c r="B403" t="s">
        <v>1229</v>
      </c>
      <c r="C403" t="s">
        <v>730</v>
      </c>
      <c r="D403" t="s">
        <v>323</v>
      </c>
      <c r="E403" t="s">
        <v>711</v>
      </c>
      <c r="F403">
        <v>72.900000000000006</v>
      </c>
      <c r="G403">
        <v>0</v>
      </c>
      <c r="H403" t="s">
        <v>792</v>
      </c>
    </row>
    <row r="404" spans="1:8">
      <c r="A404">
        <v>402</v>
      </c>
      <c r="B404" t="s">
        <v>1230</v>
      </c>
      <c r="C404" t="s">
        <v>731</v>
      </c>
      <c r="D404" t="s">
        <v>323</v>
      </c>
      <c r="E404" t="s">
        <v>609</v>
      </c>
      <c r="F404">
        <v>72.099999999999994</v>
      </c>
      <c r="G404">
        <v>0</v>
      </c>
      <c r="H404" t="s">
        <v>792</v>
      </c>
    </row>
    <row r="405" spans="1:8">
      <c r="A405">
        <v>403</v>
      </c>
      <c r="B405" t="s">
        <v>1231</v>
      </c>
      <c r="C405" t="s">
        <v>280</v>
      </c>
      <c r="D405" t="s">
        <v>323</v>
      </c>
      <c r="E405" t="s">
        <v>367</v>
      </c>
      <c r="F405">
        <v>87.5</v>
      </c>
      <c r="G405">
        <v>78.099999999999994</v>
      </c>
      <c r="H405" t="s">
        <v>794</v>
      </c>
    </row>
    <row r="406" spans="1:8">
      <c r="A406">
        <v>404</v>
      </c>
      <c r="B406" t="s">
        <v>1232</v>
      </c>
      <c r="C406" t="s">
        <v>732</v>
      </c>
      <c r="D406" t="s">
        <v>323</v>
      </c>
      <c r="E406" t="s">
        <v>711</v>
      </c>
      <c r="F406">
        <v>66.400000000000006</v>
      </c>
      <c r="G406">
        <v>0</v>
      </c>
      <c r="H406" t="s">
        <v>792</v>
      </c>
    </row>
    <row r="407" spans="1:8">
      <c r="A407">
        <v>405</v>
      </c>
      <c r="B407" t="s">
        <v>1233</v>
      </c>
      <c r="C407" t="s">
        <v>281</v>
      </c>
      <c r="D407" t="s">
        <v>323</v>
      </c>
      <c r="E407" t="s">
        <v>367</v>
      </c>
      <c r="F407">
        <v>85.5</v>
      </c>
      <c r="G407">
        <v>75.599999999999994</v>
      </c>
      <c r="H407" t="s">
        <v>794</v>
      </c>
    </row>
    <row r="408" spans="1:8">
      <c r="A408">
        <v>406</v>
      </c>
      <c r="B408" t="s">
        <v>1234</v>
      </c>
      <c r="C408" t="s">
        <v>733</v>
      </c>
      <c r="D408" t="s">
        <v>323</v>
      </c>
      <c r="E408" t="s">
        <v>725</v>
      </c>
      <c r="F408">
        <v>65.900000000000006</v>
      </c>
      <c r="G408">
        <v>0</v>
      </c>
      <c r="H408" t="s">
        <v>792</v>
      </c>
    </row>
    <row r="409" spans="1:8">
      <c r="A409">
        <v>407</v>
      </c>
      <c r="B409" t="s">
        <v>1235</v>
      </c>
      <c r="C409" t="s">
        <v>734</v>
      </c>
      <c r="D409" t="s">
        <v>323</v>
      </c>
      <c r="E409" t="s">
        <v>735</v>
      </c>
      <c r="F409">
        <v>81.400000000000006</v>
      </c>
      <c r="G409">
        <v>0</v>
      </c>
      <c r="H409" t="s">
        <v>792</v>
      </c>
    </row>
    <row r="410" spans="1:8">
      <c r="A410">
        <v>408</v>
      </c>
      <c r="B410" t="s">
        <v>1236</v>
      </c>
      <c r="C410" t="s">
        <v>736</v>
      </c>
      <c r="D410" t="s">
        <v>323</v>
      </c>
      <c r="E410" t="s">
        <v>711</v>
      </c>
      <c r="F410">
        <v>80.7</v>
      </c>
      <c r="G410">
        <v>0</v>
      </c>
      <c r="H410" t="s">
        <v>792</v>
      </c>
    </row>
    <row r="411" spans="1:8">
      <c r="A411">
        <v>409</v>
      </c>
      <c r="B411" t="s">
        <v>1237</v>
      </c>
      <c r="C411" t="s">
        <v>737</v>
      </c>
      <c r="D411" t="s">
        <v>323</v>
      </c>
      <c r="E411" t="s">
        <v>738</v>
      </c>
      <c r="F411">
        <v>90</v>
      </c>
      <c r="G411">
        <v>0</v>
      </c>
      <c r="H411" t="s">
        <v>794</v>
      </c>
    </row>
    <row r="412" spans="1:8">
      <c r="A412">
        <v>410</v>
      </c>
      <c r="B412" t="s">
        <v>1238</v>
      </c>
      <c r="C412" t="s">
        <v>284</v>
      </c>
      <c r="D412" t="s">
        <v>323</v>
      </c>
      <c r="E412" t="s">
        <v>369</v>
      </c>
      <c r="F412">
        <v>120</v>
      </c>
      <c r="G412">
        <v>77.099999999999994</v>
      </c>
      <c r="H412" t="s">
        <v>794</v>
      </c>
    </row>
    <row r="413" spans="1:8">
      <c r="A413">
        <v>411</v>
      </c>
      <c r="B413" t="s">
        <v>1239</v>
      </c>
      <c r="C413" t="s">
        <v>739</v>
      </c>
      <c r="D413" t="s">
        <v>323</v>
      </c>
      <c r="E413" t="s">
        <v>711</v>
      </c>
      <c r="F413">
        <v>68</v>
      </c>
      <c r="G413">
        <v>0</v>
      </c>
      <c r="H413" t="s">
        <v>794</v>
      </c>
    </row>
    <row r="414" spans="1:8">
      <c r="A414">
        <v>412</v>
      </c>
      <c r="B414" t="s">
        <v>1240</v>
      </c>
      <c r="C414" t="s">
        <v>291</v>
      </c>
      <c r="D414" t="s">
        <v>323</v>
      </c>
      <c r="E414" t="s">
        <v>369</v>
      </c>
      <c r="F414">
        <v>120</v>
      </c>
      <c r="G414">
        <v>73.099999999999994</v>
      </c>
      <c r="H414" t="s">
        <v>794</v>
      </c>
    </row>
    <row r="415" spans="1:8">
      <c r="A415">
        <v>413</v>
      </c>
      <c r="B415" t="s">
        <v>1241</v>
      </c>
      <c r="C415" t="s">
        <v>740</v>
      </c>
      <c r="D415" t="s">
        <v>323</v>
      </c>
      <c r="E415" t="s">
        <v>711</v>
      </c>
      <c r="F415">
        <v>64.5</v>
      </c>
      <c r="G415">
        <v>0</v>
      </c>
      <c r="H415" t="s">
        <v>794</v>
      </c>
    </row>
    <row r="416" spans="1:8">
      <c r="A416">
        <v>414</v>
      </c>
      <c r="B416" t="s">
        <v>1242</v>
      </c>
      <c r="C416" t="s">
        <v>294</v>
      </c>
      <c r="D416" t="s">
        <v>323</v>
      </c>
      <c r="E416" t="s">
        <v>369</v>
      </c>
      <c r="F416">
        <v>90</v>
      </c>
      <c r="G416">
        <v>77.099999999999994</v>
      </c>
      <c r="H416" t="s">
        <v>794</v>
      </c>
    </row>
    <row r="417" spans="1:8">
      <c r="A417">
        <v>415</v>
      </c>
      <c r="B417" t="s">
        <v>1243</v>
      </c>
      <c r="C417" t="s">
        <v>293</v>
      </c>
      <c r="D417" t="s">
        <v>323</v>
      </c>
      <c r="E417" t="s">
        <v>369</v>
      </c>
      <c r="F417">
        <v>145</v>
      </c>
      <c r="G417">
        <v>99.1</v>
      </c>
      <c r="H417" t="s">
        <v>794</v>
      </c>
    </row>
    <row r="418" spans="1:8">
      <c r="A418">
        <v>416</v>
      </c>
      <c r="B418" t="s">
        <v>1244</v>
      </c>
      <c r="C418" t="s">
        <v>741</v>
      </c>
      <c r="D418" t="s">
        <v>323</v>
      </c>
      <c r="E418" t="s">
        <v>707</v>
      </c>
      <c r="F418">
        <v>85</v>
      </c>
      <c r="G418">
        <v>0</v>
      </c>
      <c r="H418" t="s">
        <v>794</v>
      </c>
    </row>
    <row r="419" spans="1:8">
      <c r="A419">
        <v>417</v>
      </c>
      <c r="B419" t="s">
        <v>1245</v>
      </c>
      <c r="C419" t="s">
        <v>742</v>
      </c>
      <c r="D419" t="s">
        <v>323</v>
      </c>
      <c r="E419" t="s">
        <v>711</v>
      </c>
      <c r="F419">
        <v>70.5</v>
      </c>
      <c r="G419">
        <v>0</v>
      </c>
      <c r="H419" t="s">
        <v>794</v>
      </c>
    </row>
    <row r="420" spans="1:8">
      <c r="A420">
        <v>418</v>
      </c>
      <c r="B420" t="s">
        <v>1246</v>
      </c>
      <c r="C420" t="s">
        <v>282</v>
      </c>
      <c r="D420" t="s">
        <v>323</v>
      </c>
      <c r="E420" t="s">
        <v>367</v>
      </c>
      <c r="F420">
        <v>79.5</v>
      </c>
      <c r="G420">
        <v>72.099999999999994</v>
      </c>
      <c r="H420" t="s">
        <v>794</v>
      </c>
    </row>
    <row r="421" spans="1:8">
      <c r="A421">
        <v>419</v>
      </c>
      <c r="B421" t="s">
        <v>1247</v>
      </c>
      <c r="C421" t="s">
        <v>743</v>
      </c>
      <c r="D421" t="s">
        <v>323</v>
      </c>
      <c r="E421" t="s">
        <v>711</v>
      </c>
      <c r="F421">
        <v>73.099999999999994</v>
      </c>
      <c r="G421">
        <v>0</v>
      </c>
      <c r="H421" t="s">
        <v>792</v>
      </c>
    </row>
    <row r="422" spans="1:8">
      <c r="A422">
        <v>420</v>
      </c>
      <c r="B422" t="s">
        <v>1248</v>
      </c>
      <c r="C422" t="s">
        <v>744</v>
      </c>
      <c r="D422" t="s">
        <v>323</v>
      </c>
      <c r="E422" t="s">
        <v>711</v>
      </c>
      <c r="F422">
        <v>0</v>
      </c>
      <c r="G422">
        <v>0</v>
      </c>
      <c r="H422" t="s">
        <v>794</v>
      </c>
    </row>
    <row r="423" spans="1:8">
      <c r="A423">
        <v>421</v>
      </c>
      <c r="B423" t="s">
        <v>1249</v>
      </c>
      <c r="C423" t="s">
        <v>745</v>
      </c>
      <c r="D423" t="s">
        <v>323</v>
      </c>
      <c r="E423" t="s">
        <v>711</v>
      </c>
      <c r="F423">
        <v>0</v>
      </c>
      <c r="G423">
        <v>0</v>
      </c>
      <c r="H423" t="s">
        <v>794</v>
      </c>
    </row>
    <row r="424" spans="1:8">
      <c r="A424">
        <v>422</v>
      </c>
      <c r="B424" t="s">
        <v>1250</v>
      </c>
      <c r="C424" t="s">
        <v>198</v>
      </c>
      <c r="D424" t="s">
        <v>316</v>
      </c>
      <c r="E424" t="s">
        <v>348</v>
      </c>
      <c r="F424">
        <v>100</v>
      </c>
      <c r="G424">
        <v>103</v>
      </c>
      <c r="H424" t="s">
        <v>794</v>
      </c>
    </row>
    <row r="425" spans="1:8">
      <c r="A425">
        <v>423</v>
      </c>
      <c r="B425" t="s">
        <v>1251</v>
      </c>
      <c r="C425" t="s">
        <v>197</v>
      </c>
      <c r="D425" t="s">
        <v>316</v>
      </c>
      <c r="E425" t="s">
        <v>348</v>
      </c>
      <c r="F425">
        <v>100</v>
      </c>
      <c r="G425">
        <v>103</v>
      </c>
      <c r="H425" t="s">
        <v>794</v>
      </c>
    </row>
    <row r="426" spans="1:8">
      <c r="A426">
        <v>424</v>
      </c>
      <c r="B426" t="s">
        <v>1252</v>
      </c>
      <c r="C426" t="s">
        <v>65</v>
      </c>
      <c r="D426" t="s">
        <v>316</v>
      </c>
      <c r="E426" t="s">
        <v>367</v>
      </c>
      <c r="F426">
        <v>94</v>
      </c>
      <c r="G426">
        <v>99.05</v>
      </c>
      <c r="H426" t="s">
        <v>792</v>
      </c>
    </row>
    <row r="427" spans="1:8">
      <c r="A427">
        <v>425</v>
      </c>
      <c r="B427" t="s">
        <v>1253</v>
      </c>
      <c r="C427" t="s">
        <v>746</v>
      </c>
      <c r="D427" t="s">
        <v>316</v>
      </c>
      <c r="E427" t="s">
        <v>711</v>
      </c>
      <c r="F427">
        <v>76</v>
      </c>
      <c r="G427">
        <v>0</v>
      </c>
      <c r="H427" t="s">
        <v>792</v>
      </c>
    </row>
    <row r="428" spans="1:8">
      <c r="A428">
        <v>426</v>
      </c>
      <c r="B428" t="s">
        <v>1254</v>
      </c>
      <c r="C428" t="s">
        <v>226</v>
      </c>
      <c r="D428" t="s">
        <v>316</v>
      </c>
      <c r="E428" t="s">
        <v>355</v>
      </c>
      <c r="F428">
        <v>55</v>
      </c>
      <c r="G428">
        <v>65</v>
      </c>
      <c r="H428" t="s">
        <v>794</v>
      </c>
    </row>
    <row r="429" spans="1:8">
      <c r="A429">
        <v>427</v>
      </c>
      <c r="B429" t="s">
        <v>1255</v>
      </c>
      <c r="C429" t="s">
        <v>283</v>
      </c>
      <c r="D429" t="s">
        <v>325</v>
      </c>
      <c r="E429" t="s">
        <v>369</v>
      </c>
      <c r="F429">
        <v>50</v>
      </c>
      <c r="G429">
        <v>45.2</v>
      </c>
      <c r="H429" t="s">
        <v>794</v>
      </c>
    </row>
    <row r="430" spans="1:8">
      <c r="A430">
        <v>428</v>
      </c>
      <c r="B430" t="s">
        <v>1256</v>
      </c>
      <c r="C430" t="s">
        <v>747</v>
      </c>
      <c r="D430" t="s">
        <v>325</v>
      </c>
      <c r="E430" t="s">
        <v>748</v>
      </c>
      <c r="F430">
        <v>32</v>
      </c>
      <c r="G430">
        <v>0</v>
      </c>
      <c r="H430" t="s">
        <v>794</v>
      </c>
    </row>
    <row r="431" spans="1:8">
      <c r="A431">
        <v>429</v>
      </c>
      <c r="B431" t="s">
        <v>1257</v>
      </c>
      <c r="C431" t="s">
        <v>749</v>
      </c>
      <c r="D431" t="s">
        <v>325</v>
      </c>
      <c r="E431" t="s">
        <v>711</v>
      </c>
      <c r="F431">
        <v>0</v>
      </c>
      <c r="G431">
        <v>0</v>
      </c>
      <c r="H431" t="s">
        <v>794</v>
      </c>
    </row>
    <row r="432" spans="1:8">
      <c r="A432">
        <v>430</v>
      </c>
      <c r="B432" t="s">
        <v>1258</v>
      </c>
      <c r="C432" t="s">
        <v>750</v>
      </c>
      <c r="D432" t="s">
        <v>325</v>
      </c>
      <c r="E432" t="s">
        <v>711</v>
      </c>
      <c r="F432">
        <v>53.8</v>
      </c>
      <c r="G432">
        <v>0</v>
      </c>
      <c r="H432" t="s">
        <v>792</v>
      </c>
    </row>
    <row r="433" spans="1:8">
      <c r="A433">
        <v>431</v>
      </c>
      <c r="B433" t="s">
        <v>1259</v>
      </c>
      <c r="C433" t="s">
        <v>751</v>
      </c>
      <c r="D433" t="s">
        <v>325</v>
      </c>
      <c r="E433" t="s">
        <v>738</v>
      </c>
      <c r="F433">
        <v>75</v>
      </c>
      <c r="G433">
        <v>0</v>
      </c>
      <c r="H433" t="s">
        <v>794</v>
      </c>
    </row>
    <row r="434" spans="1:8">
      <c r="A434">
        <v>432</v>
      </c>
      <c r="B434" t="s">
        <v>1260</v>
      </c>
      <c r="C434" t="s">
        <v>752</v>
      </c>
      <c r="D434" t="s">
        <v>325</v>
      </c>
      <c r="E434" t="s">
        <v>711</v>
      </c>
      <c r="F434">
        <v>57.5</v>
      </c>
      <c r="G434">
        <v>0</v>
      </c>
      <c r="H434" t="s">
        <v>792</v>
      </c>
    </row>
    <row r="435" spans="1:8">
      <c r="A435">
        <v>433</v>
      </c>
      <c r="B435" t="s">
        <v>1261</v>
      </c>
      <c r="C435" t="s">
        <v>753</v>
      </c>
      <c r="D435" t="s">
        <v>325</v>
      </c>
      <c r="E435" t="s">
        <v>713</v>
      </c>
      <c r="F435">
        <v>67.5</v>
      </c>
      <c r="G435">
        <v>0</v>
      </c>
      <c r="H435" t="s">
        <v>794</v>
      </c>
    </row>
    <row r="436" spans="1:8">
      <c r="A436">
        <v>434</v>
      </c>
      <c r="B436" t="s">
        <v>1262</v>
      </c>
      <c r="C436" t="s">
        <v>754</v>
      </c>
      <c r="D436" t="s">
        <v>323</v>
      </c>
      <c r="E436" t="s">
        <v>711</v>
      </c>
      <c r="F436">
        <v>39</v>
      </c>
      <c r="G436">
        <v>0</v>
      </c>
      <c r="H436" t="s">
        <v>794</v>
      </c>
    </row>
    <row r="437" spans="1:8">
      <c r="A437">
        <v>435</v>
      </c>
      <c r="B437" t="s">
        <v>1263</v>
      </c>
      <c r="C437" t="s">
        <v>755</v>
      </c>
      <c r="D437" t="s">
        <v>325</v>
      </c>
      <c r="E437" t="s">
        <v>725</v>
      </c>
      <c r="F437">
        <v>51.5</v>
      </c>
      <c r="G437">
        <v>0</v>
      </c>
      <c r="H437" t="s">
        <v>792</v>
      </c>
    </row>
    <row r="438" spans="1:8">
      <c r="A438">
        <v>436</v>
      </c>
      <c r="B438" t="s">
        <v>1264</v>
      </c>
      <c r="C438" t="s">
        <v>756</v>
      </c>
      <c r="D438" t="s">
        <v>308</v>
      </c>
      <c r="E438" t="s">
        <v>757</v>
      </c>
      <c r="F438">
        <v>0</v>
      </c>
      <c r="G438">
        <v>0</v>
      </c>
      <c r="H438" t="s">
        <v>794</v>
      </c>
    </row>
    <row r="439" spans="1:8">
      <c r="A439">
        <v>437</v>
      </c>
      <c r="B439" t="s">
        <v>1265</v>
      </c>
      <c r="C439" t="s">
        <v>758</v>
      </c>
      <c r="D439" t="s">
        <v>308</v>
      </c>
      <c r="E439" t="s">
        <v>616</v>
      </c>
      <c r="F439">
        <v>29.6</v>
      </c>
      <c r="G439">
        <v>0</v>
      </c>
      <c r="H439" t="s">
        <v>792</v>
      </c>
    </row>
    <row r="440" spans="1:8">
      <c r="A440">
        <v>438</v>
      </c>
      <c r="B440" t="s">
        <v>1266</v>
      </c>
      <c r="C440" t="s">
        <v>66</v>
      </c>
      <c r="D440" t="s">
        <v>308</v>
      </c>
      <c r="E440" t="s">
        <v>351</v>
      </c>
      <c r="F440">
        <v>27.5</v>
      </c>
      <c r="G440">
        <v>29</v>
      </c>
      <c r="H440" t="s">
        <v>792</v>
      </c>
    </row>
    <row r="441" spans="1:8">
      <c r="A441">
        <v>439</v>
      </c>
      <c r="B441" t="s">
        <v>1267</v>
      </c>
      <c r="C441" t="s">
        <v>477</v>
      </c>
      <c r="D441" t="s">
        <v>308</v>
      </c>
      <c r="E441" t="s">
        <v>351</v>
      </c>
      <c r="F441">
        <v>35</v>
      </c>
      <c r="G441">
        <v>29</v>
      </c>
      <c r="H441" t="s">
        <v>794</v>
      </c>
    </row>
    <row r="442" spans="1:8">
      <c r="A442">
        <v>440</v>
      </c>
      <c r="B442" t="s">
        <v>1268</v>
      </c>
      <c r="C442" t="s">
        <v>210</v>
      </c>
      <c r="D442" t="s">
        <v>308</v>
      </c>
      <c r="E442" t="s">
        <v>351</v>
      </c>
      <c r="F442">
        <v>35</v>
      </c>
      <c r="G442">
        <v>29</v>
      </c>
      <c r="H442" t="s">
        <v>794</v>
      </c>
    </row>
    <row r="443" spans="1:8">
      <c r="A443">
        <v>441</v>
      </c>
      <c r="B443" t="s">
        <v>1269</v>
      </c>
      <c r="C443" t="s">
        <v>759</v>
      </c>
      <c r="D443" t="s">
        <v>308</v>
      </c>
      <c r="E443" t="s">
        <v>760</v>
      </c>
      <c r="F443">
        <v>35</v>
      </c>
      <c r="G443">
        <v>0</v>
      </c>
      <c r="H443" t="s">
        <v>794</v>
      </c>
    </row>
    <row r="444" spans="1:8">
      <c r="A444">
        <v>442</v>
      </c>
      <c r="B444" t="s">
        <v>1270</v>
      </c>
      <c r="C444" t="s">
        <v>209</v>
      </c>
      <c r="D444" t="s">
        <v>308</v>
      </c>
      <c r="E444" t="s">
        <v>351</v>
      </c>
      <c r="F444">
        <v>35</v>
      </c>
      <c r="G444">
        <v>30</v>
      </c>
      <c r="H444" t="s">
        <v>794</v>
      </c>
    </row>
    <row r="445" spans="1:8">
      <c r="A445">
        <v>443</v>
      </c>
      <c r="B445" t="s">
        <v>1271</v>
      </c>
      <c r="C445" t="s">
        <v>208</v>
      </c>
      <c r="D445" t="s">
        <v>308</v>
      </c>
      <c r="E445" t="s">
        <v>351</v>
      </c>
      <c r="F445">
        <v>35</v>
      </c>
      <c r="G445">
        <v>29</v>
      </c>
      <c r="H445" t="s">
        <v>794</v>
      </c>
    </row>
    <row r="446" spans="1:8">
      <c r="A446">
        <v>444</v>
      </c>
      <c r="B446" t="s">
        <v>1272</v>
      </c>
      <c r="C446" t="s">
        <v>761</v>
      </c>
      <c r="D446" t="s">
        <v>308</v>
      </c>
      <c r="E446" t="s">
        <v>762</v>
      </c>
      <c r="F446">
        <v>50</v>
      </c>
      <c r="G446">
        <v>0</v>
      </c>
      <c r="H446" t="s">
        <v>794</v>
      </c>
    </row>
    <row r="447" spans="1:8">
      <c r="A447">
        <v>445</v>
      </c>
      <c r="B447" t="s">
        <v>1273</v>
      </c>
      <c r="C447" t="s">
        <v>763</v>
      </c>
      <c r="D447" t="s">
        <v>308</v>
      </c>
      <c r="E447" t="s">
        <v>764</v>
      </c>
      <c r="F447">
        <v>27</v>
      </c>
      <c r="G447">
        <v>0</v>
      </c>
      <c r="H447" t="s">
        <v>792</v>
      </c>
    </row>
    <row r="448" spans="1:8">
      <c r="A448">
        <v>446</v>
      </c>
      <c r="B448" t="s">
        <v>1274</v>
      </c>
      <c r="C448" t="s">
        <v>213</v>
      </c>
      <c r="D448" t="s">
        <v>308</v>
      </c>
      <c r="E448" t="s">
        <v>351</v>
      </c>
      <c r="F448">
        <v>35</v>
      </c>
      <c r="G448">
        <v>29</v>
      </c>
      <c r="H448" t="s">
        <v>794</v>
      </c>
    </row>
    <row r="449" spans="1:8">
      <c r="A449">
        <v>447</v>
      </c>
      <c r="B449" t="s">
        <v>1275</v>
      </c>
      <c r="C449" t="s">
        <v>765</v>
      </c>
      <c r="D449" t="s">
        <v>308</v>
      </c>
      <c r="E449" t="s">
        <v>613</v>
      </c>
      <c r="F449">
        <v>27.5</v>
      </c>
      <c r="G449">
        <v>0</v>
      </c>
      <c r="H449" t="s">
        <v>792</v>
      </c>
    </row>
    <row r="450" spans="1:8">
      <c r="A450">
        <v>448</v>
      </c>
      <c r="B450" t="s">
        <v>1276</v>
      </c>
      <c r="C450" t="s">
        <v>67</v>
      </c>
      <c r="D450" t="s">
        <v>308</v>
      </c>
      <c r="E450" t="s">
        <v>333</v>
      </c>
      <c r="F450">
        <v>25</v>
      </c>
      <c r="G450">
        <v>25</v>
      </c>
      <c r="H450" t="s">
        <v>792</v>
      </c>
    </row>
    <row r="451" spans="1:8">
      <c r="A451">
        <v>449</v>
      </c>
      <c r="B451" t="s">
        <v>1277</v>
      </c>
      <c r="C451" t="s">
        <v>214</v>
      </c>
      <c r="D451" t="s">
        <v>308</v>
      </c>
      <c r="E451" t="s">
        <v>351</v>
      </c>
      <c r="F451">
        <v>35</v>
      </c>
      <c r="G451">
        <v>31</v>
      </c>
      <c r="H451" t="s">
        <v>794</v>
      </c>
    </row>
    <row r="452" spans="1:8">
      <c r="A452">
        <v>450</v>
      </c>
      <c r="B452" t="s">
        <v>1278</v>
      </c>
      <c r="C452" t="s">
        <v>471</v>
      </c>
      <c r="D452" t="s">
        <v>308</v>
      </c>
      <c r="E452" t="s">
        <v>333</v>
      </c>
      <c r="F452">
        <v>26</v>
      </c>
      <c r="G452">
        <v>26</v>
      </c>
      <c r="H452" t="s">
        <v>794</v>
      </c>
    </row>
    <row r="453" spans="1:8">
      <c r="A453">
        <v>451</v>
      </c>
      <c r="B453" t="s">
        <v>1279</v>
      </c>
      <c r="C453" t="s">
        <v>212</v>
      </c>
      <c r="D453" t="s">
        <v>308</v>
      </c>
      <c r="E453" t="s">
        <v>351</v>
      </c>
      <c r="F453">
        <v>35</v>
      </c>
      <c r="G453">
        <v>32.5</v>
      </c>
      <c r="H453" t="s">
        <v>794</v>
      </c>
    </row>
    <row r="454" spans="1:8">
      <c r="A454">
        <v>452</v>
      </c>
      <c r="B454" t="s">
        <v>1280</v>
      </c>
      <c r="C454" t="s">
        <v>766</v>
      </c>
      <c r="D454" t="s">
        <v>308</v>
      </c>
      <c r="E454" t="s">
        <v>767</v>
      </c>
      <c r="F454">
        <v>28</v>
      </c>
      <c r="G454">
        <v>0</v>
      </c>
      <c r="H454" t="s">
        <v>792</v>
      </c>
    </row>
    <row r="455" spans="1:8">
      <c r="A455">
        <v>453</v>
      </c>
      <c r="B455" t="s">
        <v>1281</v>
      </c>
      <c r="C455" t="s">
        <v>211</v>
      </c>
      <c r="D455" t="s">
        <v>308</v>
      </c>
      <c r="E455" t="s">
        <v>351</v>
      </c>
      <c r="F455">
        <v>35</v>
      </c>
      <c r="G455">
        <v>32.5</v>
      </c>
      <c r="H455" t="s">
        <v>794</v>
      </c>
    </row>
    <row r="456" spans="1:8">
      <c r="A456">
        <v>454</v>
      </c>
      <c r="B456" t="s">
        <v>1282</v>
      </c>
      <c r="C456" t="s">
        <v>68</v>
      </c>
      <c r="D456" t="s">
        <v>306</v>
      </c>
      <c r="E456" t="s">
        <v>331</v>
      </c>
      <c r="F456">
        <v>61.7</v>
      </c>
      <c r="G456">
        <v>64.650000000000006</v>
      </c>
      <c r="H456" t="s">
        <v>792</v>
      </c>
    </row>
    <row r="457" spans="1:8">
      <c r="A457">
        <v>455</v>
      </c>
      <c r="B457" t="s">
        <v>1283</v>
      </c>
      <c r="C457" t="s">
        <v>768</v>
      </c>
      <c r="D457" t="s">
        <v>306</v>
      </c>
      <c r="E457" t="s">
        <v>769</v>
      </c>
      <c r="F457">
        <v>45</v>
      </c>
      <c r="G457">
        <v>0</v>
      </c>
      <c r="H457" t="s">
        <v>794</v>
      </c>
    </row>
    <row r="458" spans="1:8">
      <c r="A458">
        <v>456</v>
      </c>
      <c r="B458" t="s">
        <v>1284</v>
      </c>
      <c r="C458" t="s">
        <v>181</v>
      </c>
      <c r="D458" t="s">
        <v>306</v>
      </c>
      <c r="E458" t="s">
        <v>342</v>
      </c>
      <c r="F458">
        <v>0</v>
      </c>
      <c r="G458">
        <v>50</v>
      </c>
      <c r="H458" t="s">
        <v>794</v>
      </c>
    </row>
    <row r="459" spans="1:8">
      <c r="A459">
        <v>457</v>
      </c>
      <c r="B459" t="s">
        <v>1285</v>
      </c>
      <c r="C459" t="s">
        <v>770</v>
      </c>
      <c r="D459" t="s">
        <v>306</v>
      </c>
      <c r="E459" t="s">
        <v>593</v>
      </c>
      <c r="F459">
        <v>65</v>
      </c>
      <c r="G459">
        <v>0</v>
      </c>
      <c r="H459" t="s">
        <v>792</v>
      </c>
    </row>
    <row r="460" spans="1:8">
      <c r="A460">
        <v>458</v>
      </c>
      <c r="B460" t="s">
        <v>1286</v>
      </c>
      <c r="C460" t="s">
        <v>180</v>
      </c>
      <c r="D460" t="s">
        <v>306</v>
      </c>
      <c r="E460" t="s">
        <v>342</v>
      </c>
      <c r="F460">
        <v>0</v>
      </c>
      <c r="G460">
        <v>50</v>
      </c>
      <c r="H460" t="s">
        <v>794</v>
      </c>
    </row>
    <row r="461" spans="1:8">
      <c r="A461">
        <v>459</v>
      </c>
      <c r="B461" t="s">
        <v>1287</v>
      </c>
      <c r="C461" t="s">
        <v>771</v>
      </c>
      <c r="D461" t="s">
        <v>306</v>
      </c>
      <c r="E461" t="s">
        <v>772</v>
      </c>
      <c r="F461">
        <v>52</v>
      </c>
      <c r="G461">
        <v>0</v>
      </c>
      <c r="H461" t="s">
        <v>792</v>
      </c>
    </row>
    <row r="462" spans="1:8">
      <c r="A462">
        <v>460</v>
      </c>
      <c r="B462" t="s">
        <v>1288</v>
      </c>
      <c r="C462" t="s">
        <v>135</v>
      </c>
      <c r="D462" t="s">
        <v>306</v>
      </c>
      <c r="E462" t="s">
        <v>331</v>
      </c>
      <c r="F462">
        <v>65</v>
      </c>
      <c r="G462">
        <v>61.65</v>
      </c>
      <c r="H462" t="s">
        <v>794</v>
      </c>
    </row>
    <row r="463" spans="1:8">
      <c r="A463">
        <v>461</v>
      </c>
      <c r="B463" t="s">
        <v>1289</v>
      </c>
      <c r="C463" t="s">
        <v>170</v>
      </c>
      <c r="D463" t="s">
        <v>306</v>
      </c>
      <c r="E463" t="s">
        <v>340</v>
      </c>
      <c r="F463">
        <v>70</v>
      </c>
      <c r="G463">
        <v>67</v>
      </c>
      <c r="H463" t="s">
        <v>794</v>
      </c>
    </row>
    <row r="464" spans="1:8">
      <c r="A464">
        <v>462</v>
      </c>
      <c r="B464" t="s">
        <v>1290</v>
      </c>
      <c r="C464" t="s">
        <v>171</v>
      </c>
      <c r="D464" t="s">
        <v>306</v>
      </c>
      <c r="E464" t="s">
        <v>340</v>
      </c>
      <c r="F464">
        <v>55</v>
      </c>
      <c r="G464">
        <v>49</v>
      </c>
      <c r="H464" t="s">
        <v>794</v>
      </c>
    </row>
    <row r="465" spans="1:8">
      <c r="A465">
        <v>463</v>
      </c>
      <c r="B465" t="s">
        <v>1291</v>
      </c>
      <c r="C465" t="s">
        <v>69</v>
      </c>
      <c r="D465" t="s">
        <v>306</v>
      </c>
      <c r="E465" t="s">
        <v>340</v>
      </c>
      <c r="F465">
        <v>52.5</v>
      </c>
      <c r="G465">
        <v>54</v>
      </c>
      <c r="H465" t="s">
        <v>792</v>
      </c>
    </row>
    <row r="466" spans="1:8">
      <c r="A466">
        <v>464</v>
      </c>
      <c r="B466" t="s">
        <v>1292</v>
      </c>
      <c r="C466" t="s">
        <v>227</v>
      </c>
      <c r="D466" t="s">
        <v>306</v>
      </c>
      <c r="E466" t="s">
        <v>355</v>
      </c>
      <c r="F466">
        <v>0</v>
      </c>
      <c r="G466">
        <v>133</v>
      </c>
      <c r="H466" t="s">
        <v>794</v>
      </c>
    </row>
    <row r="467" spans="1:8">
      <c r="A467">
        <v>465</v>
      </c>
      <c r="B467" t="s">
        <v>1293</v>
      </c>
      <c r="C467" t="s">
        <v>228</v>
      </c>
      <c r="D467" t="s">
        <v>306</v>
      </c>
      <c r="E467" t="s">
        <v>356</v>
      </c>
      <c r="F467">
        <v>60</v>
      </c>
      <c r="G467">
        <v>52.65</v>
      </c>
      <c r="H467" t="s">
        <v>794</v>
      </c>
    </row>
    <row r="468" spans="1:8">
      <c r="A468">
        <v>466</v>
      </c>
      <c r="B468" t="s">
        <v>1294</v>
      </c>
      <c r="C468" t="s">
        <v>773</v>
      </c>
      <c r="D468" t="s">
        <v>306</v>
      </c>
      <c r="E468" t="s">
        <v>735</v>
      </c>
      <c r="F468">
        <v>56.7</v>
      </c>
      <c r="G468">
        <v>0</v>
      </c>
      <c r="H468" t="s">
        <v>792</v>
      </c>
    </row>
    <row r="469" spans="1:8">
      <c r="A469">
        <v>467</v>
      </c>
      <c r="B469" t="s">
        <v>1295</v>
      </c>
      <c r="C469" t="s">
        <v>774</v>
      </c>
      <c r="D469" t="s">
        <v>306</v>
      </c>
      <c r="E469" t="s">
        <v>725</v>
      </c>
      <c r="F469">
        <v>0</v>
      </c>
      <c r="G469">
        <v>0</v>
      </c>
      <c r="H469" t="s">
        <v>792</v>
      </c>
    </row>
    <row r="470" spans="1:8">
      <c r="A470">
        <v>468</v>
      </c>
      <c r="B470" t="s">
        <v>1296</v>
      </c>
      <c r="C470" t="s">
        <v>172</v>
      </c>
      <c r="D470" t="s">
        <v>306</v>
      </c>
      <c r="E470" t="s">
        <v>340</v>
      </c>
      <c r="F470">
        <v>60</v>
      </c>
      <c r="G470">
        <v>52.5</v>
      </c>
      <c r="H470" t="s">
        <v>794</v>
      </c>
    </row>
    <row r="471" spans="1:8">
      <c r="A471">
        <v>469</v>
      </c>
      <c r="B471" t="s">
        <v>1297</v>
      </c>
      <c r="C471" t="s">
        <v>229</v>
      </c>
      <c r="D471" t="s">
        <v>306</v>
      </c>
      <c r="E471" t="s">
        <v>356</v>
      </c>
      <c r="F471">
        <v>60</v>
      </c>
      <c r="G471">
        <v>55.55</v>
      </c>
      <c r="H471" t="s">
        <v>794</v>
      </c>
    </row>
    <row r="472" spans="1:8">
      <c r="A472">
        <v>470</v>
      </c>
      <c r="B472" t="s">
        <v>1298</v>
      </c>
      <c r="C472" t="s">
        <v>231</v>
      </c>
      <c r="D472" t="s">
        <v>306</v>
      </c>
      <c r="E472" t="s">
        <v>356</v>
      </c>
      <c r="F472">
        <v>47.5</v>
      </c>
      <c r="G472">
        <v>46.65</v>
      </c>
      <c r="H472" t="s">
        <v>794</v>
      </c>
    </row>
    <row r="473" spans="1:8">
      <c r="A473">
        <v>471</v>
      </c>
      <c r="B473" t="s">
        <v>1299</v>
      </c>
      <c r="C473" t="s">
        <v>230</v>
      </c>
      <c r="D473" t="s">
        <v>306</v>
      </c>
      <c r="E473" t="s">
        <v>356</v>
      </c>
      <c r="F473">
        <v>65</v>
      </c>
      <c r="G473">
        <v>55.65</v>
      </c>
      <c r="H473" t="s">
        <v>794</v>
      </c>
    </row>
    <row r="474" spans="1:8">
      <c r="A474">
        <v>472</v>
      </c>
      <c r="B474" t="s">
        <v>1300</v>
      </c>
      <c r="C474" t="s">
        <v>173</v>
      </c>
      <c r="D474" t="s">
        <v>306</v>
      </c>
      <c r="E474" t="s">
        <v>340</v>
      </c>
      <c r="F474">
        <v>60</v>
      </c>
      <c r="G474">
        <v>52.5</v>
      </c>
      <c r="H474" t="s">
        <v>794</v>
      </c>
    </row>
    <row r="475" spans="1:8">
      <c r="A475">
        <v>473</v>
      </c>
      <c r="B475" t="s">
        <v>1301</v>
      </c>
      <c r="C475" t="s">
        <v>70</v>
      </c>
      <c r="D475" t="s">
        <v>306</v>
      </c>
      <c r="E475" t="s">
        <v>356</v>
      </c>
      <c r="F475">
        <v>54.2</v>
      </c>
      <c r="G475">
        <v>54.15</v>
      </c>
      <c r="H475" t="s">
        <v>792</v>
      </c>
    </row>
    <row r="476" spans="1:8">
      <c r="A476">
        <v>474</v>
      </c>
      <c r="B476" t="s">
        <v>1302</v>
      </c>
      <c r="C476" t="s">
        <v>174</v>
      </c>
      <c r="D476" t="s">
        <v>306</v>
      </c>
      <c r="E476" t="s">
        <v>340</v>
      </c>
      <c r="F476">
        <v>60</v>
      </c>
      <c r="G476">
        <v>52.5</v>
      </c>
      <c r="H476" t="s">
        <v>794</v>
      </c>
    </row>
    <row r="477" spans="1:8">
      <c r="A477">
        <v>475</v>
      </c>
      <c r="B477" t="s">
        <v>1303</v>
      </c>
      <c r="C477" t="s">
        <v>775</v>
      </c>
      <c r="D477" t="s">
        <v>306</v>
      </c>
      <c r="E477" t="s">
        <v>776</v>
      </c>
      <c r="F477">
        <v>56.7</v>
      </c>
      <c r="G477">
        <v>0</v>
      </c>
      <c r="H477" t="s">
        <v>792</v>
      </c>
    </row>
    <row r="478" spans="1:8">
      <c r="A478">
        <v>476</v>
      </c>
      <c r="B478" t="s">
        <v>1304</v>
      </c>
      <c r="C478" t="s">
        <v>777</v>
      </c>
      <c r="D478" t="s">
        <v>306</v>
      </c>
      <c r="E478" t="s">
        <v>778</v>
      </c>
      <c r="F478">
        <v>68</v>
      </c>
      <c r="G478">
        <v>0</v>
      </c>
      <c r="H478" t="s">
        <v>794</v>
      </c>
    </row>
    <row r="479" spans="1:8">
      <c r="A479">
        <v>477</v>
      </c>
      <c r="B479" t="s">
        <v>1305</v>
      </c>
      <c r="C479" t="s">
        <v>71</v>
      </c>
      <c r="D479" t="s">
        <v>306</v>
      </c>
      <c r="E479" t="s">
        <v>356</v>
      </c>
      <c r="F479">
        <v>51.7</v>
      </c>
      <c r="G479">
        <v>51.65</v>
      </c>
      <c r="H479" t="s">
        <v>792</v>
      </c>
    </row>
    <row r="480" spans="1:8">
      <c r="A480">
        <v>478</v>
      </c>
      <c r="B480" t="s">
        <v>1306</v>
      </c>
      <c r="C480" t="s">
        <v>779</v>
      </c>
      <c r="D480" t="s">
        <v>318</v>
      </c>
      <c r="E480" t="s">
        <v>491</v>
      </c>
      <c r="F480">
        <v>75</v>
      </c>
      <c r="G480">
        <v>0</v>
      </c>
      <c r="H480" t="s">
        <v>792</v>
      </c>
    </row>
    <row r="481" spans="1:8">
      <c r="A481">
        <v>479</v>
      </c>
      <c r="B481" t="s">
        <v>1307</v>
      </c>
      <c r="C481" t="s">
        <v>107</v>
      </c>
      <c r="D481" t="s">
        <v>318</v>
      </c>
      <c r="E481" t="s">
        <v>365</v>
      </c>
      <c r="F481">
        <v>66.150000000000006</v>
      </c>
      <c r="G481">
        <v>69.150000000000006</v>
      </c>
      <c r="H481" t="s">
        <v>792</v>
      </c>
    </row>
    <row r="482" spans="1:8">
      <c r="A482">
        <v>480</v>
      </c>
      <c r="B482" t="s">
        <v>1308</v>
      </c>
      <c r="C482" t="s">
        <v>1309</v>
      </c>
      <c r="D482" t="s">
        <v>318</v>
      </c>
      <c r="E482" t="s">
        <v>491</v>
      </c>
      <c r="F482">
        <v>75</v>
      </c>
      <c r="G482">
        <v>0</v>
      </c>
      <c r="H482" t="s">
        <v>792</v>
      </c>
    </row>
    <row r="483" spans="1:8">
      <c r="A483">
        <v>481</v>
      </c>
      <c r="B483" t="s">
        <v>1310</v>
      </c>
      <c r="C483" t="s">
        <v>108</v>
      </c>
      <c r="D483" t="s">
        <v>318</v>
      </c>
      <c r="E483" t="s">
        <v>352</v>
      </c>
      <c r="F483">
        <v>66.5</v>
      </c>
      <c r="G483">
        <v>68.5</v>
      </c>
      <c r="H483" t="s">
        <v>792</v>
      </c>
    </row>
    <row r="484" spans="1:8">
      <c r="A484">
        <v>482</v>
      </c>
      <c r="B484" t="s">
        <v>1311</v>
      </c>
      <c r="C484" t="s">
        <v>218</v>
      </c>
      <c r="D484" t="s">
        <v>318</v>
      </c>
      <c r="E484" t="s">
        <v>352</v>
      </c>
      <c r="F484">
        <v>76</v>
      </c>
      <c r="G484">
        <v>74</v>
      </c>
      <c r="H484" t="s">
        <v>794</v>
      </c>
    </row>
    <row r="485" spans="1:8">
      <c r="A485">
        <v>483</v>
      </c>
      <c r="B485" t="s">
        <v>1312</v>
      </c>
      <c r="C485" t="s">
        <v>780</v>
      </c>
      <c r="D485" t="s">
        <v>318</v>
      </c>
      <c r="E485" t="s">
        <v>686</v>
      </c>
      <c r="F485">
        <v>75</v>
      </c>
      <c r="G485">
        <v>0</v>
      </c>
      <c r="H485" t="s">
        <v>794</v>
      </c>
    </row>
    <row r="486" spans="1:8">
      <c r="A486">
        <v>484</v>
      </c>
      <c r="B486" t="s">
        <v>1313</v>
      </c>
      <c r="C486" t="s">
        <v>781</v>
      </c>
      <c r="D486" t="s">
        <v>318</v>
      </c>
      <c r="E486" t="s">
        <v>686</v>
      </c>
      <c r="F486">
        <v>75</v>
      </c>
      <c r="G486">
        <v>0</v>
      </c>
      <c r="H486" t="s">
        <v>794</v>
      </c>
    </row>
    <row r="487" spans="1:8">
      <c r="A487">
        <v>485</v>
      </c>
      <c r="B487" t="s">
        <v>1314</v>
      </c>
      <c r="C487" t="s">
        <v>216</v>
      </c>
      <c r="D487" t="s">
        <v>318</v>
      </c>
      <c r="E487" t="s">
        <v>352</v>
      </c>
      <c r="F487">
        <v>75</v>
      </c>
      <c r="G487">
        <v>72.5</v>
      </c>
      <c r="H487" t="s">
        <v>794</v>
      </c>
    </row>
    <row r="488" spans="1:8">
      <c r="A488">
        <v>486</v>
      </c>
      <c r="B488" t="s">
        <v>1315</v>
      </c>
      <c r="C488" t="s">
        <v>217</v>
      </c>
      <c r="D488" t="s">
        <v>318</v>
      </c>
      <c r="E488" t="s">
        <v>352</v>
      </c>
      <c r="F488">
        <v>75</v>
      </c>
      <c r="G488">
        <v>72.5</v>
      </c>
      <c r="H488" t="s">
        <v>794</v>
      </c>
    </row>
    <row r="489" spans="1:8">
      <c r="A489">
        <v>487</v>
      </c>
      <c r="B489" t="s">
        <v>1316</v>
      </c>
      <c r="C489" t="s">
        <v>72</v>
      </c>
      <c r="D489" t="s">
        <v>310</v>
      </c>
      <c r="E489" t="s">
        <v>365</v>
      </c>
      <c r="F489">
        <v>0</v>
      </c>
      <c r="G489">
        <v>0</v>
      </c>
      <c r="H489" t="s">
        <v>792</v>
      </c>
    </row>
    <row r="490" spans="1:8">
      <c r="A490">
        <v>488</v>
      </c>
      <c r="B490" t="s">
        <v>1317</v>
      </c>
      <c r="C490" t="s">
        <v>782</v>
      </c>
      <c r="D490" t="s">
        <v>318</v>
      </c>
      <c r="E490" t="s">
        <v>666</v>
      </c>
      <c r="F490">
        <v>70</v>
      </c>
      <c r="G490">
        <v>0</v>
      </c>
      <c r="H490" t="s">
        <v>794</v>
      </c>
    </row>
    <row r="491" spans="1:8">
      <c r="A491">
        <v>489</v>
      </c>
      <c r="B491" t="s">
        <v>1318</v>
      </c>
      <c r="C491" t="s">
        <v>783</v>
      </c>
      <c r="D491" t="s">
        <v>784</v>
      </c>
      <c r="E491" t="s">
        <v>512</v>
      </c>
      <c r="F491">
        <v>0</v>
      </c>
      <c r="G491">
        <v>0</v>
      </c>
      <c r="H491" t="s">
        <v>794</v>
      </c>
    </row>
    <row r="492" spans="1:8">
      <c r="A492">
        <v>490</v>
      </c>
      <c r="B492" t="s">
        <v>1319</v>
      </c>
      <c r="C492" t="s">
        <v>785</v>
      </c>
      <c r="D492" t="s">
        <v>301</v>
      </c>
      <c r="E492" t="s">
        <v>679</v>
      </c>
      <c r="F492">
        <v>70</v>
      </c>
      <c r="G492">
        <v>0</v>
      </c>
      <c r="H492" t="s">
        <v>792</v>
      </c>
    </row>
    <row r="493" spans="1:8">
      <c r="A493">
        <v>491</v>
      </c>
      <c r="B493" t="s">
        <v>1320</v>
      </c>
      <c r="C493" t="s">
        <v>73</v>
      </c>
      <c r="D493" t="s">
        <v>301</v>
      </c>
      <c r="E493" t="s">
        <v>329</v>
      </c>
      <c r="F493">
        <v>70</v>
      </c>
      <c r="G493">
        <v>71</v>
      </c>
      <c r="H493" t="s">
        <v>792</v>
      </c>
    </row>
    <row r="494" spans="1:8">
      <c r="A494">
        <v>492</v>
      </c>
      <c r="B494" t="s">
        <v>1321</v>
      </c>
      <c r="C494" t="s">
        <v>215</v>
      </c>
      <c r="D494" t="s">
        <v>301</v>
      </c>
      <c r="E494" t="s">
        <v>352</v>
      </c>
      <c r="F494">
        <v>77.5</v>
      </c>
      <c r="G494">
        <v>74</v>
      </c>
      <c r="H494" t="s">
        <v>794</v>
      </c>
    </row>
    <row r="495" spans="1:8">
      <c r="A495">
        <v>493</v>
      </c>
      <c r="B495" t="s">
        <v>1322</v>
      </c>
      <c r="C495" t="s">
        <v>786</v>
      </c>
      <c r="D495" t="s">
        <v>787</v>
      </c>
      <c r="E495" t="s">
        <v>512</v>
      </c>
      <c r="F495">
        <v>0</v>
      </c>
      <c r="G495">
        <v>0</v>
      </c>
      <c r="H495" t="s">
        <v>794</v>
      </c>
    </row>
    <row r="496" spans="1:8">
      <c r="A496">
        <v>494</v>
      </c>
      <c r="B496" t="s">
        <v>1323</v>
      </c>
      <c r="C496" t="s">
        <v>788</v>
      </c>
      <c r="D496" t="s">
        <v>789</v>
      </c>
      <c r="E496" t="s">
        <v>628</v>
      </c>
      <c r="F496">
        <v>51.95</v>
      </c>
      <c r="G496">
        <v>0</v>
      </c>
      <c r="H496" t="s">
        <v>792</v>
      </c>
    </row>
    <row r="497" spans="1:8">
      <c r="A497">
        <v>495</v>
      </c>
      <c r="B497" t="s">
        <v>1324</v>
      </c>
      <c r="C497" t="s">
        <v>790</v>
      </c>
      <c r="D497" t="s">
        <v>301</v>
      </c>
      <c r="E497" t="s">
        <v>491</v>
      </c>
      <c r="F497">
        <v>75</v>
      </c>
      <c r="G497">
        <v>0</v>
      </c>
      <c r="H497" t="s">
        <v>792</v>
      </c>
    </row>
    <row r="498" spans="1:8">
      <c r="A498">
        <v>496</v>
      </c>
      <c r="B498" t="s">
        <v>1325</v>
      </c>
      <c r="C498" t="s">
        <v>125</v>
      </c>
      <c r="D498" t="s">
        <v>302</v>
      </c>
      <c r="E498" t="s">
        <v>329</v>
      </c>
      <c r="F498">
        <v>65</v>
      </c>
      <c r="G498">
        <v>60</v>
      </c>
      <c r="H498" t="s">
        <v>794</v>
      </c>
    </row>
    <row r="499" spans="1:8">
      <c r="A499">
        <v>497</v>
      </c>
      <c r="B499" t="s">
        <v>1326</v>
      </c>
      <c r="C499" t="s">
        <v>251</v>
      </c>
      <c r="D499" t="s">
        <v>301</v>
      </c>
      <c r="E499" t="s">
        <v>359</v>
      </c>
      <c r="F499">
        <v>85</v>
      </c>
      <c r="G499">
        <v>83.25</v>
      </c>
      <c r="H499" t="s">
        <v>794</v>
      </c>
    </row>
    <row r="500" spans="1:8">
      <c r="A500">
        <v>498</v>
      </c>
      <c r="B500" t="s">
        <v>1327</v>
      </c>
      <c r="C500" t="s">
        <v>126</v>
      </c>
      <c r="D500" t="s">
        <v>302</v>
      </c>
      <c r="E500" t="s">
        <v>329</v>
      </c>
      <c r="F500">
        <v>65</v>
      </c>
      <c r="G500">
        <v>60</v>
      </c>
      <c r="H500" t="s">
        <v>794</v>
      </c>
    </row>
    <row r="501" spans="1:8">
      <c r="A501">
        <v>499</v>
      </c>
      <c r="B501" t="s">
        <v>1328</v>
      </c>
      <c r="C501" t="s">
        <v>478</v>
      </c>
      <c r="D501" t="s">
        <v>315</v>
      </c>
      <c r="E501" t="s">
        <v>354</v>
      </c>
      <c r="F501">
        <v>75</v>
      </c>
      <c r="G501">
        <v>0</v>
      </c>
      <c r="H501" t="s">
        <v>794</v>
      </c>
    </row>
    <row r="502" spans="1:8">
      <c r="A502">
        <v>500</v>
      </c>
      <c r="B502" t="s">
        <v>1329</v>
      </c>
      <c r="C502" t="s">
        <v>482</v>
      </c>
      <c r="D502" t="s">
        <v>301</v>
      </c>
      <c r="E502" t="s">
        <v>352</v>
      </c>
      <c r="F502">
        <v>0</v>
      </c>
      <c r="G502">
        <v>0</v>
      </c>
      <c r="H502" t="s">
        <v>792</v>
      </c>
    </row>
    <row r="503" spans="1:8">
      <c r="A503">
        <v>501</v>
      </c>
      <c r="B503" t="s">
        <v>1330</v>
      </c>
      <c r="C503" t="s">
        <v>481</v>
      </c>
      <c r="D503" t="s">
        <v>301</v>
      </c>
      <c r="E503" t="s">
        <v>352</v>
      </c>
      <c r="F503">
        <v>0</v>
      </c>
      <c r="G503">
        <v>0</v>
      </c>
      <c r="H503" t="s">
        <v>792</v>
      </c>
    </row>
    <row r="504" spans="1:8">
      <c r="A504">
        <v>502</v>
      </c>
      <c r="B504" t="s">
        <v>1331</v>
      </c>
      <c r="C504" t="s">
        <v>109</v>
      </c>
      <c r="D504" t="s">
        <v>324</v>
      </c>
      <c r="E504" t="s">
        <v>368</v>
      </c>
      <c r="F504">
        <v>38.200000000000003</v>
      </c>
      <c r="G504">
        <v>40.299999999999997</v>
      </c>
      <c r="H504" t="s">
        <v>792</v>
      </c>
    </row>
    <row r="505" spans="1:8">
      <c r="A505">
        <v>503</v>
      </c>
      <c r="B505" t="s">
        <v>1332</v>
      </c>
      <c r="C505" t="s">
        <v>110</v>
      </c>
      <c r="D505" t="s">
        <v>324</v>
      </c>
      <c r="E505" t="s">
        <v>368</v>
      </c>
      <c r="F505">
        <v>42.7</v>
      </c>
      <c r="G505">
        <v>0</v>
      </c>
      <c r="H505" t="s">
        <v>792</v>
      </c>
    </row>
    <row r="506" spans="1:8">
      <c r="A506">
        <v>504</v>
      </c>
      <c r="B506" t="s">
        <v>1333</v>
      </c>
      <c r="C506" t="s">
        <v>74</v>
      </c>
      <c r="D506" t="s">
        <v>324</v>
      </c>
      <c r="E506" t="s">
        <v>368</v>
      </c>
      <c r="F506">
        <v>38.200000000000003</v>
      </c>
      <c r="G506">
        <v>41.8</v>
      </c>
      <c r="H506" t="s">
        <v>792</v>
      </c>
    </row>
    <row r="507" spans="1:8">
      <c r="A507">
        <v>505</v>
      </c>
      <c r="B507" t="s">
        <v>1334</v>
      </c>
      <c r="C507" t="s">
        <v>75</v>
      </c>
      <c r="D507" t="s">
        <v>324</v>
      </c>
      <c r="E507" t="s">
        <v>368</v>
      </c>
      <c r="F507">
        <v>38.200000000000003</v>
      </c>
      <c r="G507">
        <v>40.299999999999997</v>
      </c>
      <c r="H507" t="s">
        <v>792</v>
      </c>
    </row>
    <row r="508" spans="1:8">
      <c r="A508">
        <v>506</v>
      </c>
      <c r="B508" t="s">
        <v>1335</v>
      </c>
      <c r="C508" t="s">
        <v>1336</v>
      </c>
      <c r="D508" t="s">
        <v>324</v>
      </c>
      <c r="E508" t="s">
        <v>368</v>
      </c>
      <c r="F508">
        <v>42.7</v>
      </c>
      <c r="G508">
        <v>0</v>
      </c>
      <c r="H508" t="s">
        <v>792</v>
      </c>
    </row>
    <row r="509" spans="1:8">
      <c r="A509">
        <v>507</v>
      </c>
      <c r="B509" t="s">
        <v>1337</v>
      </c>
      <c r="C509" t="s">
        <v>111</v>
      </c>
      <c r="D509" t="s">
        <v>324</v>
      </c>
      <c r="E509" t="s">
        <v>368</v>
      </c>
      <c r="F509">
        <v>38.200000000000003</v>
      </c>
      <c r="G509">
        <v>41.8</v>
      </c>
      <c r="H509" t="s">
        <v>792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AW2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INF 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2018-11-14T10:31:06Z</dcterms:modified>
</cp:coreProperties>
</file>