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3. SO &amp; PO Katalog\"/>
    </mc:Choice>
  </mc:AlternateContent>
  <bookViews>
    <workbookView xWindow="0" yWindow="0" windowWidth="11040" windowHeight="7680"/>
  </bookViews>
  <sheets>
    <sheet name="Kebutuhan Katalog" sheetId="9" r:id="rId1"/>
    <sheet name="Kebutuhan Pelanggan" sheetId="7" r:id="rId2"/>
    <sheet name="SO Katalog 04122018" sheetId="10" r:id="rId3"/>
    <sheet name="SO Katalog 28112018" sheetId="8" r:id="rId4"/>
  </sheets>
  <definedNames>
    <definedName name="_xlnm._FilterDatabase" localSheetId="1" hidden="1">'Kebutuhan Pelanggan'!$A$3:$L$175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/>
  <c r="N49" i="7"/>
  <c r="E25" i="9" l="1"/>
  <c r="E27" i="9" l="1"/>
  <c r="E26" i="9"/>
  <c r="E24" i="9"/>
  <c r="E23" i="9"/>
  <c r="E29" i="9" s="1"/>
  <c r="E16" i="9"/>
  <c r="E15" i="9"/>
  <c r="E14" i="9"/>
  <c r="E17" i="9"/>
  <c r="D28" i="9"/>
  <c r="D14" i="9"/>
  <c r="D23" i="9" s="1"/>
  <c r="D8" i="9" l="1"/>
  <c r="C18" i="9"/>
  <c r="K73" i="7" l="1"/>
  <c r="C17" i="10"/>
  <c r="C25" i="9" s="1"/>
  <c r="C16" i="10"/>
  <c r="C24" i="9" s="1"/>
  <c r="C14" i="10"/>
  <c r="C22" i="9" s="1"/>
  <c r="C8" i="10"/>
  <c r="C16" i="9" s="1"/>
  <c r="C7" i="10"/>
  <c r="C15" i="9" s="1"/>
  <c r="C5" i="10"/>
  <c r="C13" i="9" s="1"/>
  <c r="C20" i="10"/>
  <c r="C28" i="9" s="1"/>
  <c r="C19" i="10"/>
  <c r="C27" i="9" s="1"/>
  <c r="C18" i="10"/>
  <c r="C26" i="9" s="1"/>
  <c r="C15" i="10"/>
  <c r="C23" i="9" s="1"/>
  <c r="C11" i="10"/>
  <c r="C19" i="9" s="1"/>
  <c r="C9" i="10"/>
  <c r="C17" i="9" s="1"/>
  <c r="C6" i="10"/>
  <c r="C14" i="9" s="1"/>
  <c r="F15" i="10"/>
  <c r="F16" i="10"/>
  <c r="F17" i="10"/>
  <c r="F18" i="10"/>
  <c r="F19" i="10"/>
  <c r="F20" i="10"/>
  <c r="F14" i="10"/>
  <c r="E21" i="10"/>
  <c r="D6" i="9" s="1"/>
  <c r="D21" i="10"/>
  <c r="F6" i="10"/>
  <c r="F7" i="10"/>
  <c r="F8" i="10"/>
  <c r="F9" i="10"/>
  <c r="F10" i="10"/>
  <c r="G10" i="10" s="1"/>
  <c r="F11" i="10"/>
  <c r="F5" i="10"/>
  <c r="E12" i="10"/>
  <c r="C6" i="9" s="1"/>
  <c r="D12" i="10"/>
  <c r="E6" i="9" l="1"/>
  <c r="G7" i="10"/>
  <c r="G14" i="10"/>
  <c r="G17" i="10"/>
  <c r="G16" i="10"/>
  <c r="G5" i="10"/>
  <c r="F12" i="10"/>
  <c r="F21" i="10"/>
  <c r="C12" i="10"/>
  <c r="G19" i="10"/>
  <c r="G8" i="10"/>
  <c r="C21" i="10"/>
  <c r="C29" i="9" s="1"/>
  <c r="G11" i="10"/>
  <c r="G9" i="10"/>
  <c r="G6" i="10"/>
  <c r="G20" i="10"/>
  <c r="G18" i="10"/>
  <c r="G15" i="10"/>
  <c r="G12" i="10"/>
  <c r="H15" i="8"/>
  <c r="H16" i="8"/>
  <c r="H7" i="8"/>
  <c r="H6" i="8"/>
  <c r="H18" i="8"/>
  <c r="H19" i="8"/>
  <c r="H9" i="8"/>
  <c r="H10" i="8"/>
  <c r="F22" i="8"/>
  <c r="F13" i="8"/>
  <c r="E22" i="8"/>
  <c r="D22" i="8"/>
  <c r="C22" i="8"/>
  <c r="H21" i="8"/>
  <c r="G21" i="8"/>
  <c r="H20" i="8"/>
  <c r="G20" i="8"/>
  <c r="G19" i="8"/>
  <c r="I19" i="8" s="1"/>
  <c r="G18" i="8"/>
  <c r="G17" i="8"/>
  <c r="I17" i="8" s="1"/>
  <c r="G16" i="8"/>
  <c r="G15" i="8"/>
  <c r="E13" i="8"/>
  <c r="D13" i="8"/>
  <c r="C13" i="8"/>
  <c r="H12" i="8"/>
  <c r="G12" i="8"/>
  <c r="G11" i="8"/>
  <c r="I11" i="8" s="1"/>
  <c r="G10" i="8"/>
  <c r="G9" i="8"/>
  <c r="G8" i="8"/>
  <c r="G7" i="8"/>
  <c r="G6" i="8"/>
  <c r="H13" i="8" l="1"/>
  <c r="H22" i="8"/>
  <c r="G21" i="10"/>
  <c r="I12" i="8"/>
  <c r="G13" i="8"/>
  <c r="G22" i="8"/>
  <c r="I16" i="8"/>
  <c r="I20" i="8"/>
  <c r="I21" i="8"/>
  <c r="I18" i="8"/>
  <c r="I13" i="8"/>
  <c r="I7" i="8"/>
  <c r="I8" i="8"/>
  <c r="I9" i="8"/>
  <c r="I10" i="8"/>
  <c r="I15" i="8"/>
  <c r="I6" i="8"/>
  <c r="N165" i="7"/>
  <c r="K152" i="7"/>
  <c r="K150" i="7"/>
  <c r="K143" i="7"/>
  <c r="K142" i="7"/>
  <c r="K140" i="7"/>
  <c r="K139" i="7"/>
  <c r="K137" i="7"/>
  <c r="K136" i="7"/>
  <c r="K135" i="7"/>
  <c r="K134" i="7"/>
  <c r="K133" i="7"/>
  <c r="K130" i="7"/>
  <c r="K106" i="7"/>
  <c r="K105" i="7"/>
  <c r="K104" i="7"/>
  <c r="K102" i="7"/>
  <c r="K100" i="7"/>
  <c r="K99" i="7"/>
  <c r="K96" i="7"/>
  <c r="K91" i="7"/>
  <c r="K89" i="7"/>
  <c r="K85" i="7"/>
  <c r="K75" i="7"/>
  <c r="K76" i="7"/>
  <c r="K77" i="7"/>
  <c r="K81" i="7"/>
  <c r="K79" i="7"/>
  <c r="K78" i="7"/>
  <c r="J77" i="7"/>
  <c r="D15" i="9" l="1"/>
  <c r="I22" i="8"/>
  <c r="N73" i="7"/>
  <c r="F66" i="8"/>
  <c r="E66" i="8"/>
  <c r="D66" i="8"/>
  <c r="C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H66" i="8" s="1"/>
  <c r="G59" i="8"/>
  <c r="F57" i="8"/>
  <c r="E57" i="8"/>
  <c r="D57" i="8"/>
  <c r="C57" i="8"/>
  <c r="H56" i="8"/>
  <c r="G56" i="8"/>
  <c r="G55" i="8"/>
  <c r="I55" i="8" s="1"/>
  <c r="K11" i="8" s="1"/>
  <c r="H54" i="8"/>
  <c r="G54" i="8"/>
  <c r="H53" i="8"/>
  <c r="G53" i="8"/>
  <c r="H52" i="8"/>
  <c r="G52" i="8"/>
  <c r="H51" i="8"/>
  <c r="G51" i="8"/>
  <c r="H50" i="8"/>
  <c r="G50" i="8"/>
  <c r="F44" i="8"/>
  <c r="E44" i="8"/>
  <c r="D44" i="8"/>
  <c r="C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G44" i="8" s="1"/>
  <c r="F35" i="8"/>
  <c r="E35" i="8"/>
  <c r="D35" i="8"/>
  <c r="C35" i="8"/>
  <c r="H34" i="8"/>
  <c r="G34" i="8"/>
  <c r="G33" i="8"/>
  <c r="I33" i="8" s="1"/>
  <c r="J11" i="8" s="1"/>
  <c r="H32" i="8"/>
  <c r="G32" i="8"/>
  <c r="H31" i="8"/>
  <c r="G31" i="8"/>
  <c r="H30" i="8"/>
  <c r="G30" i="8"/>
  <c r="H29" i="8"/>
  <c r="G29" i="8"/>
  <c r="H28" i="8"/>
  <c r="G28" i="8"/>
  <c r="H57" i="8" l="1"/>
  <c r="D24" i="9"/>
  <c r="G35" i="8"/>
  <c r="I29" i="8"/>
  <c r="J7" i="8" s="1"/>
  <c r="I30" i="8"/>
  <c r="J8" i="8" s="1"/>
  <c r="I31" i="8"/>
  <c r="J9" i="8" s="1"/>
  <c r="I32" i="8"/>
  <c r="J10" i="8" s="1"/>
  <c r="H44" i="8"/>
  <c r="H35" i="8"/>
  <c r="I34" i="8"/>
  <c r="J12" i="8" s="1"/>
  <c r="I38" i="8"/>
  <c r="J16" i="8" s="1"/>
  <c r="I39" i="8"/>
  <c r="J17" i="8" s="1"/>
  <c r="I40" i="8"/>
  <c r="J18" i="8" s="1"/>
  <c r="I41" i="8"/>
  <c r="J19" i="8" s="1"/>
  <c r="I42" i="8"/>
  <c r="J20" i="8" s="1"/>
  <c r="I43" i="8"/>
  <c r="J21" i="8" s="1"/>
  <c r="I50" i="8"/>
  <c r="K6" i="8" s="1"/>
  <c r="I51" i="8"/>
  <c r="K7" i="8" s="1"/>
  <c r="I52" i="8"/>
  <c r="K8" i="8" s="1"/>
  <c r="I53" i="8"/>
  <c r="K9" i="8" s="1"/>
  <c r="I54" i="8"/>
  <c r="K10" i="8" s="1"/>
  <c r="I56" i="8"/>
  <c r="K12" i="8" s="1"/>
  <c r="G57" i="8"/>
  <c r="I59" i="8"/>
  <c r="K15" i="8" s="1"/>
  <c r="I60" i="8"/>
  <c r="K16" i="8" s="1"/>
  <c r="I61" i="8"/>
  <c r="K17" i="8" s="1"/>
  <c r="I62" i="8"/>
  <c r="K18" i="8" s="1"/>
  <c r="I63" i="8"/>
  <c r="K19" i="8" s="1"/>
  <c r="I64" i="8"/>
  <c r="K20" i="8" s="1"/>
  <c r="I65" i="8"/>
  <c r="K21" i="8" s="1"/>
  <c r="G66" i="8"/>
  <c r="C20" i="9"/>
  <c r="I37" i="8"/>
  <c r="J15" i="8" s="1"/>
  <c r="I28" i="8"/>
  <c r="J6" i="8" s="1"/>
  <c r="I35" i="8" l="1"/>
  <c r="J13" i="8" s="1"/>
  <c r="I44" i="8"/>
  <c r="J22" i="8" s="1"/>
  <c r="I66" i="8"/>
  <c r="K22" i="8" s="1"/>
  <c r="I57" i="8"/>
  <c r="K13" i="8" s="1"/>
  <c r="K90" i="7"/>
  <c r="K128" i="7"/>
  <c r="K151" i="7"/>
  <c r="J82" i="7"/>
  <c r="J76" i="7"/>
  <c r="N150" i="7" l="1"/>
  <c r="D18" i="9"/>
  <c r="N85" i="7"/>
  <c r="D16" i="9"/>
  <c r="N124" i="7"/>
  <c r="D17" i="9"/>
  <c r="D26" i="9" s="1"/>
  <c r="D25" i="9" l="1"/>
  <c r="D20" i="9"/>
  <c r="D27" i="9"/>
  <c r="E18" i="9"/>
  <c r="E20" i="9" s="1"/>
  <c r="B32" i="9" s="1"/>
  <c r="E32" i="9" s="1"/>
  <c r="D29" i="9" l="1"/>
</calcChain>
</file>

<file path=xl/comments1.xml><?xml version="1.0" encoding="utf-8"?>
<comments xmlns="http://schemas.openxmlformats.org/spreadsheetml/2006/main">
  <authors>
    <author>Windows User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Sebelum dirapihkan tempat penyimpanan katalognya</t>
        </r>
      </text>
    </comment>
  </commentList>
</comments>
</file>

<file path=xl/sharedStrings.xml><?xml version="1.0" encoding="utf-8"?>
<sst xmlns="http://schemas.openxmlformats.org/spreadsheetml/2006/main" count="717" uniqueCount="364">
  <si>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</si>
  <si>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</si>
  <si>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</si>
  <si>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</si>
  <si>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</si>
  <si>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</si>
  <si>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</si>
  <si>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</si>
  <si>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</si>
  <si>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</si>
  <si>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</si>
  <si>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</si>
  <si>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</si>
  <si>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</si>
  <si>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</si>
  <si>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</si>
  <si>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</si>
  <si>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</si>
  <si>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</si>
  <si>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</si>
  <si>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</si>
  <si>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</si>
  <si>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</si>
  <si>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</si>
  <si>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</si>
  <si>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</si>
  <si>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</si>
  <si>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</si>
  <si>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</si>
  <si>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</si>
  <si>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</si>
  <si>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</si>
  <si>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RUDI IRWANSYAH</t>
  </si>
  <si>
    <t>SAMSUL BAHRI (GHAISAN COLLECTION)</t>
  </si>
  <si>
    <t>DIRWAN</t>
  </si>
  <si>
    <t>PUTRI MANDIRI</t>
  </si>
  <si>
    <t>ASEP SAEPUL ROHMAT (PM COLLECTION)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</si>
  <si>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</si>
  <si>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</si>
  <si>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</si>
  <si>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</si>
  <si>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</si>
  <si>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</si>
  <si>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</si>
  <si>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</si>
  <si>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</si>
  <si>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</si>
  <si>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</si>
  <si>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</si>
  <si>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</si>
  <si>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</si>
  <si>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</si>
  <si>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</si>
  <si>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</si>
  <si>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</si>
  <si>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</si>
  <si>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</si>
  <si>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</si>
  <si>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</si>
  <si>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UD RATU JAYA-ATANG TARYANA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</si>
  <si>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</si>
  <si>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</si>
  <si>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</si>
  <si>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</si>
  <si>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</si>
  <si>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</si>
  <si>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</si>
  <si>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</si>
  <si>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</si>
  <si>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</si>
  <si>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</si>
  <si>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</si>
  <si>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</si>
  <si>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NAMA PELANGGAN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</si>
  <si>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</si>
  <si>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</si>
  <si>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</si>
  <si>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</si>
  <si>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</si>
  <si>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MUSTAMA  | FAJAR MULYA</t>
  </si>
  <si>
    <t>MENGUNDURKAN DIRI</t>
  </si>
  <si>
    <t xml:space="preserve">PURNAMA GANJAR </t>
  </si>
  <si>
    <t>HENDAR | TUNAS KARYA MANDIRI</t>
  </si>
  <si>
    <t>SUDAH TIDAK AKTIF ARISAN</t>
  </si>
  <si>
    <t xml:space="preserve">IVAN SETIAWAN </t>
  </si>
  <si>
    <t>AMAR SOLEH | SINAR MENTARI</t>
  </si>
  <si>
    <t>160 HARI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</si>
  <si>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</si>
  <si>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</si>
  <si>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</si>
  <si>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</si>
  <si>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</si>
  <si>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</si>
  <si>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</si>
  <si>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</si>
  <si>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</si>
  <si>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</si>
  <si>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</si>
  <si>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</si>
  <si>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</si>
  <si>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</si>
  <si>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</si>
  <si>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</si>
  <si>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</si>
  <si>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</si>
  <si>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23 Nov 2018</t>
  </si>
  <si>
    <t>20 Nov 2018</t>
  </si>
  <si>
    <t>24 Nov 2018</t>
  </si>
  <si>
    <t>21 Nov 2018</t>
  </si>
  <si>
    <t>19 Nov 2018</t>
  </si>
  <si>
    <t>18 Nov 2018</t>
  </si>
  <si>
    <t>22 Nov 2018</t>
  </si>
  <si>
    <t>17 Nov 2018</t>
  </si>
  <si>
    <t>30 Apr 2018</t>
  </si>
  <si>
    <t>30 Mar 2018</t>
  </si>
  <si>
    <t>25 Des 2017</t>
  </si>
  <si>
    <t>06 Mar 2018</t>
  </si>
  <si>
    <t>25 Nov 2018</t>
  </si>
  <si>
    <t>11 Sep 2018</t>
  </si>
  <si>
    <t>11 Jun 2018</t>
  </si>
  <si>
    <t>15 Agu 2018</t>
  </si>
  <si>
    <t>15 Nov 2018</t>
  </si>
  <si>
    <t>20 Mei 2018</t>
  </si>
  <si>
    <t>-</t>
  </si>
  <si>
    <t>27 Jun 2018</t>
  </si>
  <si>
    <t>16 Nov 2018</t>
  </si>
  <si>
    <t>05 Okt 2018</t>
  </si>
  <si>
    <t>09 Nov 2018</t>
  </si>
  <si>
    <t>13 Mei 2018</t>
  </si>
  <si>
    <t>29 Okt 2018</t>
  </si>
  <si>
    <t>10 Okt 2018</t>
  </si>
  <si>
    <t>24 Feb 2018</t>
  </si>
  <si>
    <t>12 Nov 2018</t>
  </si>
  <si>
    <t>03 Mar 2018</t>
  </si>
  <si>
    <t>JENIS</t>
  </si>
  <si>
    <t>KATALOG</t>
  </si>
  <si>
    <t>QTY</t>
  </si>
  <si>
    <t xml:space="preserve">160 HARI </t>
  </si>
  <si>
    <t>PELANGGAN BARU : 082317416764</t>
  </si>
  <si>
    <t>GABUNG KEMBALI : 081313262061</t>
  </si>
  <si>
    <t>0.2</t>
  </si>
  <si>
    <t>0.19</t>
  </si>
  <si>
    <t>0.04</t>
  </si>
  <si>
    <t>0.07</t>
  </si>
  <si>
    <t>0.01</t>
  </si>
  <si>
    <t>0.1</t>
  </si>
  <si>
    <t>0.12</t>
  </si>
  <si>
    <t>0.02</t>
  </si>
  <si>
    <t>0.25</t>
  </si>
  <si>
    <t>0.05</t>
  </si>
  <si>
    <t>0.06</t>
  </si>
  <si>
    <t>0.08</t>
  </si>
  <si>
    <t>0.16</t>
  </si>
  <si>
    <t>0.75</t>
  </si>
  <si>
    <t>0.95</t>
  </si>
  <si>
    <t>0.11</t>
  </si>
  <si>
    <t>0.26</t>
  </si>
  <si>
    <t>0.37</t>
  </si>
  <si>
    <t>0.29</t>
  </si>
  <si>
    <t>0.18</t>
  </si>
  <si>
    <t>0.14</t>
  </si>
  <si>
    <t>0.03</t>
  </si>
  <si>
    <t>0.15</t>
  </si>
  <si>
    <t>PENGAJUAN</t>
  </si>
  <si>
    <t>Jenis</t>
  </si>
  <si>
    <t>Total</t>
  </si>
  <si>
    <t>STOCK OPNAME KATALOG 28 NOVEMBER 2018</t>
  </si>
  <si>
    <t>SO 28/11/18</t>
  </si>
  <si>
    <t>IN</t>
  </si>
  <si>
    <t>OUT</t>
  </si>
  <si>
    <t>STOCK</t>
  </si>
  <si>
    <t>SO : 28/11/2018</t>
  </si>
  <si>
    <t>TOOLKIT</t>
  </si>
  <si>
    <t>Vendor Universal</t>
  </si>
  <si>
    <t>Faktur</t>
  </si>
  <si>
    <t>OPEX</t>
  </si>
  <si>
    <t>FISIK (SO)</t>
  </si>
  <si>
    <t>SELISIH</t>
  </si>
  <si>
    <t>Infikids</t>
  </si>
  <si>
    <t>Polos</t>
  </si>
  <si>
    <t>Up 100%</t>
  </si>
  <si>
    <t>80/100</t>
  </si>
  <si>
    <t>100/100</t>
  </si>
  <si>
    <t>100/120</t>
  </si>
  <si>
    <t>100/170</t>
  </si>
  <si>
    <t>100/180</t>
  </si>
  <si>
    <t>TOTAL</t>
  </si>
  <si>
    <t>Kuzatura</t>
  </si>
  <si>
    <t>STOCK OPNAME KATALOG 17 NOVEMBER 2018</t>
  </si>
  <si>
    <t>SO 17/11/18</t>
  </si>
  <si>
    <t>SO : 17/11/2018</t>
  </si>
  <si>
    <t>Stock</t>
  </si>
  <si>
    <t>Kebutuhan</t>
  </si>
  <si>
    <t>Toolkit</t>
  </si>
  <si>
    <t>Kekurangan</t>
  </si>
  <si>
    <t>dari 100/100 pindah ke 80/100</t>
  </si>
  <si>
    <t>BELUM GABUNG</t>
  </si>
  <si>
    <t>081514041960 - BELUM GABUNG</t>
  </si>
  <si>
    <t>085778963680 - BELUM GABUNG</t>
  </si>
  <si>
    <t>081911999307  085659987215 - BELUM GABUNG</t>
  </si>
  <si>
    <t>081322205278 - BELUM GABUNG</t>
  </si>
  <si>
    <t>085797238966 - BELUM GABUNG</t>
  </si>
  <si>
    <t>085717986263 - BELUM GABUNG</t>
  </si>
  <si>
    <t>087888801597 - BELUM GABUNG</t>
  </si>
  <si>
    <t>081908222447 - BELUM GABUNG</t>
  </si>
  <si>
    <t>081351757378  085771590862 - BELUM GABUNG</t>
  </si>
  <si>
    <t>PELANGGAN BARU : 082317651885 - BELUM GABUNG</t>
  </si>
  <si>
    <t>081382142458 - BELUM GABUNG</t>
  </si>
  <si>
    <t>085325157320 - BELUM GABUNG</t>
  </si>
  <si>
    <t>085693154019  082113513981 - BELUM GABUNG</t>
  </si>
  <si>
    <t>087820202084 - BELUM GABUNG</t>
  </si>
  <si>
    <t>0895371991546 - BELUM GABUNG</t>
  </si>
  <si>
    <t>08156449177  082315239007 - BELUM GABUNG</t>
  </si>
  <si>
    <t>085772603852 - BELUM GABUNG</t>
  </si>
  <si>
    <t>085724282800 - BELUM GABUNG</t>
  </si>
  <si>
    <t>085723221482 - BELUM GABUNG</t>
  </si>
  <si>
    <t>082317624676 - BELUM GABUNG</t>
  </si>
  <si>
    <t>081573337774 - BELUM GABUNG</t>
  </si>
  <si>
    <t>CAYOTO</t>
  </si>
  <si>
    <t>27 Nov 2018</t>
  </si>
  <si>
    <t>30 Okt 2018</t>
  </si>
  <si>
    <t>30 Nov 2018</t>
  </si>
  <si>
    <t>29 Nov 2018</t>
  </si>
  <si>
    <t>28 Nov 2018</t>
  </si>
  <si>
    <t>1 Des 2018</t>
  </si>
  <si>
    <t>14 Nov 2018</t>
  </si>
  <si>
    <t>26 Nov 2018</t>
  </si>
  <si>
    <t>27 Agu 2018</t>
  </si>
  <si>
    <t>6 Nov 2018</t>
  </si>
  <si>
    <t>4 Nov 2018</t>
  </si>
  <si>
    <t>24 Agu 2018</t>
  </si>
  <si>
    <t>1 Nov 2018</t>
  </si>
  <si>
    <t>14 Sep 2018</t>
  </si>
  <si>
    <t>10 Sep 2018</t>
  </si>
  <si>
    <t>19 Okt 2018</t>
  </si>
  <si>
    <t>dari 100/180 pindah ke 100/170</t>
  </si>
  <si>
    <t>5 Nov 2018</t>
  </si>
  <si>
    <t>0.27</t>
  </si>
  <si>
    <t>0.62</t>
  </si>
  <si>
    <t>0.3</t>
  </si>
  <si>
    <t>0.13</t>
  </si>
  <si>
    <t>100</t>
  </si>
  <si>
    <t>5</t>
  </si>
  <si>
    <t>0,05</t>
  </si>
  <si>
    <t>0.22</t>
  </si>
  <si>
    <t>0.17</t>
  </si>
  <si>
    <t>0.43</t>
  </si>
  <si>
    <t>SO 03/12/18</t>
  </si>
  <si>
    <t>STOCK OPNAME KATALOG 3 DESEMBER 2018</t>
  </si>
  <si>
    <t>SO : 03/12/2018</t>
  </si>
  <si>
    <t>SO 04/12/18</t>
  </si>
  <si>
    <t>Aktual (Fisik)</t>
  </si>
  <si>
    <t>EDISI</t>
  </si>
  <si>
    <t>JUMLAH JUAL NETT</t>
  </si>
  <si>
    <t>NILAI JUAL NETT</t>
  </si>
  <si>
    <t>2018-2019</t>
  </si>
  <si>
    <t>KATALOG INFIKIDS</t>
  </si>
  <si>
    <t>KATALOG KUZATURA</t>
  </si>
  <si>
    <t>TOTAL KATALOG</t>
  </si>
  <si>
    <t>LAPORAN DISTRIBUSI KATALOG DAN PENJUALAN INFIKIDS KUZATURA</t>
  </si>
  <si>
    <t>PERTANGGAL 4 DESEMBER 2018</t>
  </si>
  <si>
    <t>MARGIN LABA 20% :</t>
  </si>
  <si>
    <t>Jumlah pengajuan penambahan cetak katalog edisi 2018-2019</t>
  </si>
  <si>
    <t>BIAYA PENGAJUAN CETAK KATALOG</t>
  </si>
  <si>
    <t>=</t>
  </si>
  <si>
    <t>Tidak dikoreksi</t>
  </si>
  <si>
    <t>ARIF JULIANSAH (BANDROS)</t>
  </si>
  <si>
    <t>TAUFIK ST</t>
  </si>
  <si>
    <t>IMAS JUBAEDAH - KOPO</t>
  </si>
  <si>
    <t>DEDI KURNIADI</t>
  </si>
  <si>
    <t>INDRA FASHION BANDUNG</t>
  </si>
  <si>
    <t>CV. EVEROUS SOLUSI PRIMA</t>
  </si>
  <si>
    <t>WANDI SUTARDI</t>
  </si>
  <si>
    <t>NINA MUTMAINAH - SUKAWANGI</t>
  </si>
  <si>
    <t>HENGKY - LEUWIPANJANG</t>
  </si>
  <si>
    <t>NARNIA</t>
  </si>
  <si>
    <t>TIAN USMARA SULAEMAN (SEPATU.COM)</t>
  </si>
  <si>
    <t>MUHAMAD FITER</t>
  </si>
  <si>
    <t>RIZKIKA SARI SAPUTRI</t>
  </si>
  <si>
    <t>TANTAN QUSTOLANY</t>
  </si>
  <si>
    <t>SANDI AHMAD KURNIAWAN</t>
  </si>
  <si>
    <t>DIANA RATNASARI</t>
  </si>
  <si>
    <t>SAIFUL HASAN</t>
  </si>
  <si>
    <t>MASWARDI</t>
  </si>
  <si>
    <t>CANDRA BANDUNG STORE</t>
  </si>
  <si>
    <t>BOBY SULAEMAN</t>
  </si>
  <si>
    <t>DODI SUGANDI</t>
  </si>
  <si>
    <t>IRMAYANTI</t>
  </si>
  <si>
    <t xml:space="preserve">GUNANJAR ARI SETIAWAN </t>
  </si>
  <si>
    <t>ADE GILANG RAMADHAN</t>
  </si>
  <si>
    <t>DEDE IRYAWAN</t>
  </si>
  <si>
    <t>MUH IRFAN AL ANSHARI</t>
  </si>
  <si>
    <t>UNTUNG WIJAYA</t>
  </si>
  <si>
    <t xml:space="preserve">AGUNG GUMILAR </t>
  </si>
  <si>
    <t>HADYAN FAKHRI</t>
  </si>
  <si>
    <t>BOBBY FAHREZA</t>
  </si>
  <si>
    <t>MUHAMAD IS AKBAR</t>
  </si>
  <si>
    <t>YENI YULIANTIKA BT KALIL</t>
  </si>
  <si>
    <t>JHON - PALEMBANG</t>
  </si>
  <si>
    <t>DWI AJI YANUARDIE</t>
  </si>
  <si>
    <t>GUN GUN ROHIMAN</t>
  </si>
  <si>
    <t>ENDAH NURAENI BT SUDARSONO</t>
  </si>
  <si>
    <t>BAMBANG BAGUS SURYADI</t>
  </si>
  <si>
    <t>GITA CHRISTINA SITORUS</t>
  </si>
  <si>
    <t>RODIMAN HERMANSYAH</t>
  </si>
  <si>
    <t xml:space="preserve">BUDI IRAWAN </t>
  </si>
  <si>
    <t>SEFTY RIANY NURAIDA</t>
  </si>
  <si>
    <t>YUAN PERDANA</t>
  </si>
  <si>
    <t>MARTIN SUKIYONO</t>
  </si>
  <si>
    <t>STATUS/Terkahir</t>
  </si>
  <si>
    <t>KUSNO</t>
  </si>
  <si>
    <t xml:space="preserve">BUBUN BUNYAMIN </t>
  </si>
  <si>
    <t>NANA (NANA COLLECTION)</t>
  </si>
  <si>
    <t>KOMANG YUSRA WIJAYA</t>
  </si>
  <si>
    <t>AGUS DEPRIANTO</t>
  </si>
  <si>
    <t>UMAR FARUQ MUNAWAR</t>
  </si>
  <si>
    <t>MAHPUDIN BIN NANDANG</t>
  </si>
  <si>
    <t>DWI RAHMANDA ARDIANTO</t>
  </si>
  <si>
    <t>SUGANDI - SERANG</t>
  </si>
  <si>
    <t>DICKY COLLECTION</t>
  </si>
  <si>
    <t>SRI NURHAYATI ARISAN</t>
  </si>
  <si>
    <t xml:space="preserve">TETI NURAENI </t>
  </si>
  <si>
    <t>DEDE SAEPUL MILAH</t>
  </si>
  <si>
    <t>YAYAT HIDAYAT</t>
  </si>
  <si>
    <t>HW FASHION BANDUNG</t>
  </si>
  <si>
    <t>TAKUR (TAUFIK KURNIAWAN)</t>
  </si>
  <si>
    <t>ARIF RAHMAN HAKIM</t>
  </si>
  <si>
    <t>PP - PRIMA PERKASA</t>
  </si>
  <si>
    <t>MULANA ROHIMAT</t>
  </si>
  <si>
    <t>KETERANGAN</t>
  </si>
  <si>
    <t>1.65</t>
  </si>
  <si>
    <t>0.76</t>
  </si>
  <si>
    <t>3.04</t>
  </si>
  <si>
    <t>0.21</t>
  </si>
  <si>
    <t>2.17</t>
  </si>
  <si>
    <t>6.25</t>
  </si>
  <si>
    <t>0.69</t>
  </si>
  <si>
    <t>65.5</t>
  </si>
  <si>
    <t>1.29</t>
  </si>
  <si>
    <t>15.6</t>
  </si>
  <si>
    <t>9.88</t>
  </si>
  <si>
    <t>1.69</t>
  </si>
  <si>
    <t>10.5</t>
  </si>
  <si>
    <t>2.67</t>
  </si>
  <si>
    <t>3.5</t>
  </si>
  <si>
    <t>0.4</t>
  </si>
  <si>
    <t>0.09</t>
  </si>
  <si>
    <t>0.33</t>
  </si>
  <si>
    <t>1.15</t>
  </si>
  <si>
    <t>1.73</t>
  </si>
  <si>
    <t>3.64</t>
  </si>
  <si>
    <t>1.5</t>
  </si>
  <si>
    <t>0.28</t>
  </si>
  <si>
    <t>3.78</t>
  </si>
  <si>
    <t>Bris Hilton Sihombing</t>
  </si>
  <si>
    <t>6 Des 2018</t>
  </si>
  <si>
    <t>5 Des 2018</t>
  </si>
  <si>
    <t>2 Okt 2018</t>
  </si>
  <si>
    <t>3 Des 2018</t>
  </si>
  <si>
    <t>2 Des 2018</t>
  </si>
  <si>
    <t>4 Des 2018</t>
  </si>
  <si>
    <t>polos</t>
  </si>
  <si>
    <t>up 100</t>
  </si>
  <si>
    <t>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</si>
</sst>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15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/>
    <xf numFmtId="49" fontId="2" fillId="0" borderId="1" xfId="0" applyNumberFormat="1" applyFont="1" applyFill="1" applyBorder="1"/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0" fillId="4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1" xfId="0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4" fillId="5" borderId="1" xfId="0" applyFont="1" applyFill="1" applyBorder="1" applyAlignment="1">
      <alignment horizontal="right" vertical="center" wrapText="1"/>
    </xf>
    <xf numFmtId="3" fontId="0" fillId="0" borderId="0" xfId="0" applyNumberFormat="1"/>
    <xf numFmtId="3" fontId="4" fillId="5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6" borderId="0" xfId="0" applyFont="1" applyFill="1"/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6" xfId="0" applyBorder="1"/>
    <xf numFmtId="3" fontId="7" fillId="7" borderId="1" xfId="0" applyNumberFormat="1" applyFont="1" applyFill="1" applyBorder="1"/>
    <xf numFmtId="3" fontId="8" fillId="7" borderId="1" xfId="0" applyNumberFormat="1" applyFon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0" fillId="0" borderId="1" xfId="0" applyNumberFormat="1" applyBorder="1"/>
    <xf numFmtId="3" fontId="4" fillId="7" borderId="1" xfId="0" applyNumberFormat="1" applyFont="1" applyFill="1" applyBorder="1"/>
    <xf numFmtId="3" fontId="4" fillId="8" borderId="1" xfId="0" applyNumberFormat="1" applyFont="1" applyFill="1" applyBorder="1"/>
    <xf numFmtId="3" fontId="4" fillId="9" borderId="1" xfId="0" applyNumberFormat="1" applyFont="1" applyFill="1" applyBorder="1"/>
    <xf numFmtId="3" fontId="4" fillId="0" borderId="1" xfId="0" applyNumberFormat="1" applyFont="1" applyBorder="1"/>
    <xf numFmtId="3" fontId="9" fillId="10" borderId="1" xfId="0" applyNumberFormat="1" applyFont="1" applyFill="1" applyBorder="1"/>
    <xf numFmtId="3" fontId="4" fillId="0" borderId="5" xfId="0" applyNumberFormat="1" applyFont="1" applyBorder="1" applyAlignment="1"/>
    <xf numFmtId="3" fontId="0" fillId="0" borderId="6" xfId="0" applyNumberFormat="1" applyBorder="1"/>
    <xf numFmtId="0" fontId="4" fillId="0" borderId="4" xfId="0" applyFont="1" applyBorder="1"/>
    <xf numFmtId="0" fontId="0" fillId="0" borderId="4" xfId="0" applyBorder="1"/>
    <xf numFmtId="0" fontId="1" fillId="6" borderId="4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4" fillId="0" borderId="6" xfId="0" applyFont="1" applyBorder="1" applyAlignment="1"/>
    <xf numFmtId="3" fontId="0" fillId="0" borderId="4" xfId="0" applyNumberFormat="1" applyBorder="1"/>
    <xf numFmtId="3" fontId="4" fillId="0" borderId="4" xfId="0" applyNumberFormat="1" applyFont="1" applyBorder="1"/>
    <xf numFmtId="0" fontId="4" fillId="7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0" fillId="11" borderId="1" xfId="0" applyFill="1" applyBorder="1"/>
    <xf numFmtId="3" fontId="0" fillId="11" borderId="1" xfId="0" applyNumberFormat="1" applyFill="1" applyBorder="1"/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6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/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4" fontId="4" fillId="0" borderId="0" xfId="0" applyNumberFormat="1" applyFont="1"/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0" fillId="12" borderId="1" xfId="0" applyNumberFormat="1" applyFill="1" applyBorder="1"/>
    <xf numFmtId="49" fontId="1" fillId="11" borderId="1" xfId="0" applyNumberFormat="1" applyFont="1" applyFill="1" applyBorder="1" applyAlignment="1">
      <alignment horizontal="center" vertical="center"/>
    </xf>
    <xf numFmtId="0" fontId="0" fillId="0" borderId="8" xfId="0" applyBorder="1"/>
    <xf numFmtId="3" fontId="0" fillId="0" borderId="1" xfId="0" applyNumberFormat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3" fontId="0" fillId="0" borderId="8" xfId="0" applyNumberFormat="1" applyBorder="1"/>
    <xf numFmtId="0" fontId="13" fillId="11" borderId="1" xfId="0" applyFont="1" applyFill="1" applyBorder="1" applyAlignment="1">
      <alignment horizontal="left" vertical="center"/>
    </xf>
    <xf numFmtId="49" fontId="13" fillId="11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3" fontId="0" fillId="11" borderId="1" xfId="0" applyNumberFormat="1" applyFill="1" applyBorder="1" applyAlignment="1">
      <alignment vertical="center" wrapText="1"/>
    </xf>
    <xf numFmtId="0" fontId="14" fillId="13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0" fontId="14" fillId="14" borderId="1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center"/>
    </xf>
    <xf numFmtId="15" fontId="13" fillId="11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5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4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 vertical="center"/>
    </xf>
    <xf numFmtId="0" fontId="0" fillId="4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topLeftCell="A4" zoomScale="70" zoomScaleNormal="70" workbookViewId="0">
      <selection activeCell="L13" sqref="L13"/>
    </sheetView>
  </sheetViews>
  <sheetFormatPr defaultRowHeight="15" x14ac:dyDescent="0.25"/>
  <cols>
    <col min="1" max="1" width="2.140625" customWidth="1"/>
    <col min="2" max="2" width="10.28515625" customWidth="1"/>
    <col min="3" max="3" width="18.140625" customWidth="1"/>
    <col min="4" max="4" width="19.140625" customWidth="1"/>
    <col min="5" max="5" width="17.28515625" customWidth="1"/>
    <col min="6" max="6" width="18.42578125" customWidth="1"/>
    <col min="7" max="7" width="17.7109375" customWidth="1"/>
    <col min="8" max="8" width="16.5703125" customWidth="1"/>
    <col min="9" max="9" width="2.5703125" customWidth="1"/>
  </cols>
  <sheetData>
    <row r="1" spans="2:8" ht="11.25" customHeight="1" x14ac:dyDescent="0.25"/>
    <row r="2" spans="2:8" x14ac:dyDescent="0.25">
      <c r="B2" s="114" t="s">
        <v>259</v>
      </c>
      <c r="C2" s="114"/>
      <c r="D2" s="114"/>
      <c r="E2" s="114"/>
      <c r="F2" s="114"/>
      <c r="G2" s="114"/>
      <c r="H2" s="114"/>
    </row>
    <row r="3" spans="2:8" x14ac:dyDescent="0.25">
      <c r="B3" s="114" t="s">
        <v>260</v>
      </c>
      <c r="C3" s="114"/>
      <c r="D3" s="114"/>
      <c r="E3" s="114"/>
      <c r="F3" s="114"/>
      <c r="G3" s="114"/>
      <c r="H3" s="114"/>
    </row>
    <row r="5" spans="2:8" x14ac:dyDescent="0.25">
      <c r="B5" s="88" t="s">
        <v>252</v>
      </c>
      <c r="C5" s="88" t="s">
        <v>256</v>
      </c>
      <c r="D5" s="88" t="s">
        <v>257</v>
      </c>
      <c r="E5" s="88" t="s">
        <v>258</v>
      </c>
      <c r="F5" s="88" t="s">
        <v>253</v>
      </c>
      <c r="G5" s="88" t="s">
        <v>254</v>
      </c>
      <c r="H5" s="88" t="s">
        <v>74</v>
      </c>
    </row>
    <row r="6" spans="2:8" x14ac:dyDescent="0.25">
      <c r="B6" s="89" t="s">
        <v>255</v>
      </c>
      <c r="C6" s="90">
        <f>'SO Katalog 04122018'!E12</f>
        <v>15203</v>
      </c>
      <c r="D6" s="90">
        <f>'SO Katalog 04122018'!E21</f>
        <v>13773</v>
      </c>
      <c r="E6" s="90">
        <f>C6+D6</f>
        <v>28976</v>
      </c>
      <c r="F6" s="90">
        <v>9755</v>
      </c>
      <c r="G6" s="90">
        <v>930971515</v>
      </c>
      <c r="H6" s="89">
        <v>0.34</v>
      </c>
    </row>
    <row r="8" spans="2:8" x14ac:dyDescent="0.25">
      <c r="B8" s="85" t="s">
        <v>261</v>
      </c>
      <c r="D8" s="91">
        <f>G6*20%</f>
        <v>186194303</v>
      </c>
    </row>
    <row r="10" spans="2:8" x14ac:dyDescent="0.25">
      <c r="B10" s="115" t="s">
        <v>262</v>
      </c>
      <c r="C10" s="115"/>
      <c r="D10" s="115"/>
      <c r="E10" s="115"/>
    </row>
    <row r="11" spans="2:8" x14ac:dyDescent="0.25">
      <c r="B11" s="72" t="s">
        <v>193</v>
      </c>
      <c r="C11" s="73" t="s">
        <v>191</v>
      </c>
      <c r="D11" s="73" t="s">
        <v>192</v>
      </c>
      <c r="E11" s="74" t="s">
        <v>194</v>
      </c>
    </row>
    <row r="12" spans="2:8" x14ac:dyDescent="0.25">
      <c r="B12" s="55" t="s">
        <v>178</v>
      </c>
      <c r="C12" s="56"/>
      <c r="D12" s="56"/>
      <c r="E12" s="75"/>
    </row>
    <row r="13" spans="2:8" x14ac:dyDescent="0.25">
      <c r="B13" s="71" t="s">
        <v>179</v>
      </c>
      <c r="C13" s="62">
        <f>'SO Katalog 04122018'!C5</f>
        <v>3165</v>
      </c>
      <c r="D13" s="71">
        <v>0</v>
      </c>
      <c r="E13" s="62">
        <v>0</v>
      </c>
    </row>
    <row r="14" spans="2:8" x14ac:dyDescent="0.25">
      <c r="B14" s="71" t="s">
        <v>180</v>
      </c>
      <c r="C14" s="95">
        <f>'SO Katalog 04122018'!C6</f>
        <v>94</v>
      </c>
      <c r="D14" s="76">
        <f>1000</f>
        <v>1000</v>
      </c>
      <c r="E14" s="62">
        <f>900</f>
        <v>900</v>
      </c>
    </row>
    <row r="15" spans="2:8" x14ac:dyDescent="0.25">
      <c r="B15" s="71" t="s">
        <v>181</v>
      </c>
      <c r="C15" s="95">
        <f>'SO Katalog 04122018'!C7</f>
        <v>64</v>
      </c>
      <c r="D15" s="76">
        <f>SUM('Kebutuhan Pelanggan'!K73:K84)/2</f>
        <v>1050</v>
      </c>
      <c r="E15" s="62">
        <f>950</f>
        <v>950</v>
      </c>
    </row>
    <row r="16" spans="2:8" x14ac:dyDescent="0.25">
      <c r="B16" s="71" t="s">
        <v>182</v>
      </c>
      <c r="C16" s="62">
        <f>'SO Katalog 04122018'!C8</f>
        <v>463</v>
      </c>
      <c r="D16" s="76">
        <f>SUM('Kebutuhan Pelanggan'!K85:K123)/2</f>
        <v>1250</v>
      </c>
      <c r="E16" s="62">
        <f>750</f>
        <v>750</v>
      </c>
    </row>
    <row r="17" spans="2:5" x14ac:dyDescent="0.25">
      <c r="B17" s="71" t="s">
        <v>183</v>
      </c>
      <c r="C17" s="62">
        <f>'SO Katalog 04122018'!C9</f>
        <v>571</v>
      </c>
      <c r="D17" s="76">
        <f>SUM('Kebutuhan Pelanggan'!K124:K149)/2</f>
        <v>975</v>
      </c>
      <c r="E17" s="62">
        <f>400</f>
        <v>400</v>
      </c>
    </row>
    <row r="18" spans="2:5" x14ac:dyDescent="0.25">
      <c r="B18" s="71" t="s">
        <v>184</v>
      </c>
      <c r="C18" s="95">
        <f>'SO Katalog 04122018'!C10</f>
        <v>0</v>
      </c>
      <c r="D18" s="76">
        <f>SUM('Kebutuhan Pelanggan'!K150:K164)/2</f>
        <v>900</v>
      </c>
      <c r="E18" s="62">
        <f t="shared" ref="E18" si="0">D18-C18</f>
        <v>900</v>
      </c>
    </row>
    <row r="19" spans="2:5" x14ac:dyDescent="0.25">
      <c r="B19" s="71" t="s">
        <v>185</v>
      </c>
      <c r="C19" s="62">
        <f>'SO Katalog 04122018'!C11</f>
        <v>1455</v>
      </c>
      <c r="D19" s="76">
        <v>1000</v>
      </c>
      <c r="E19" s="62">
        <v>0</v>
      </c>
    </row>
    <row r="20" spans="2:5" x14ac:dyDescent="0.25">
      <c r="B20" s="70" t="s">
        <v>186</v>
      </c>
      <c r="C20" s="66">
        <f t="shared" ref="C20" si="1">SUM(C13:C19)</f>
        <v>5812</v>
      </c>
      <c r="D20" s="77">
        <f>SUM(D13:D19)</f>
        <v>6175</v>
      </c>
      <c r="E20" s="66">
        <f>SUM(E13:E19)</f>
        <v>3900</v>
      </c>
    </row>
    <row r="21" spans="2:5" x14ac:dyDescent="0.25">
      <c r="B21" s="55" t="s">
        <v>187</v>
      </c>
      <c r="C21" s="56"/>
      <c r="D21" s="56"/>
      <c r="E21" s="75"/>
    </row>
    <row r="22" spans="2:5" x14ac:dyDescent="0.25">
      <c r="B22" s="71" t="s">
        <v>179</v>
      </c>
      <c r="C22" s="62">
        <f>'SO Katalog 04122018'!C14</f>
        <v>3546</v>
      </c>
      <c r="D22" s="71">
        <v>0</v>
      </c>
      <c r="E22" s="2">
        <v>0</v>
      </c>
    </row>
    <row r="23" spans="2:5" x14ac:dyDescent="0.25">
      <c r="B23" s="71" t="s">
        <v>180</v>
      </c>
      <c r="C23" s="62">
        <f>'SO Katalog 04122018'!C15</f>
        <v>453</v>
      </c>
      <c r="D23" s="76">
        <f t="shared" ref="D23:D28" si="2">D14</f>
        <v>1000</v>
      </c>
      <c r="E23" s="62">
        <f>500</f>
        <v>500</v>
      </c>
    </row>
    <row r="24" spans="2:5" x14ac:dyDescent="0.25">
      <c r="B24" s="71" t="s">
        <v>181</v>
      </c>
      <c r="C24" s="62">
        <f>'SO Katalog 04122018'!C16</f>
        <v>110</v>
      </c>
      <c r="D24" s="76">
        <f t="shared" si="2"/>
        <v>1050</v>
      </c>
      <c r="E24" s="62">
        <f>950</f>
        <v>950</v>
      </c>
    </row>
    <row r="25" spans="2:5" x14ac:dyDescent="0.25">
      <c r="B25" s="71" t="s">
        <v>182</v>
      </c>
      <c r="C25" s="95">
        <f>'SO Katalog 04122018'!C17</f>
        <v>38</v>
      </c>
      <c r="D25" s="76">
        <f t="shared" si="2"/>
        <v>1250</v>
      </c>
      <c r="E25" s="62">
        <f>1000</f>
        <v>1000</v>
      </c>
    </row>
    <row r="26" spans="2:5" x14ac:dyDescent="0.25">
      <c r="B26" s="71" t="s">
        <v>183</v>
      </c>
      <c r="C26" s="62">
        <f>'SO Katalog 04122018'!C18</f>
        <v>543</v>
      </c>
      <c r="D26" s="76">
        <f t="shared" si="2"/>
        <v>975</v>
      </c>
      <c r="E26" s="62">
        <f>400</f>
        <v>400</v>
      </c>
    </row>
    <row r="27" spans="2:5" x14ac:dyDescent="0.25">
      <c r="B27" s="71" t="s">
        <v>184</v>
      </c>
      <c r="C27" s="95">
        <f>'SO Katalog 04122018'!C19</f>
        <v>40</v>
      </c>
      <c r="D27" s="76">
        <f t="shared" si="2"/>
        <v>900</v>
      </c>
      <c r="E27" s="62">
        <f>850</f>
        <v>850</v>
      </c>
    </row>
    <row r="28" spans="2:5" x14ac:dyDescent="0.25">
      <c r="B28" s="71" t="s">
        <v>185</v>
      </c>
      <c r="C28" s="62">
        <f>'SO Katalog 04122018'!C20</f>
        <v>1458</v>
      </c>
      <c r="D28" s="76">
        <f t="shared" si="2"/>
        <v>1000</v>
      </c>
      <c r="E28" s="62">
        <v>0</v>
      </c>
    </row>
    <row r="29" spans="2:5" x14ac:dyDescent="0.25">
      <c r="B29" s="70" t="s">
        <v>186</v>
      </c>
      <c r="C29" s="66">
        <f>'SO Katalog 04122018'!C21</f>
        <v>6188</v>
      </c>
      <c r="D29" s="77">
        <f>SUM(D22:D28)</f>
        <v>6175</v>
      </c>
      <c r="E29" s="66">
        <f>SUM(E22:E28)</f>
        <v>3700</v>
      </c>
    </row>
    <row r="31" spans="2:5" x14ac:dyDescent="0.25">
      <c r="B31" s="85" t="s">
        <v>263</v>
      </c>
    </row>
    <row r="32" spans="2:5" x14ac:dyDescent="0.25">
      <c r="B32" s="94">
        <f>E20+E29</f>
        <v>7600</v>
      </c>
      <c r="C32" s="92">
        <v>10000</v>
      </c>
      <c r="D32" s="93" t="s">
        <v>264</v>
      </c>
      <c r="E32" s="92">
        <f>B32*C32</f>
        <v>76000000</v>
      </c>
    </row>
    <row r="33" ht="9.75" customHeight="1" x14ac:dyDescent="0.25"/>
  </sheetData>
  <mergeCells count="3">
    <mergeCell ref="B2:H2"/>
    <mergeCell ref="B3:H3"/>
    <mergeCell ref="B10:E10"/>
  </mergeCells>
  <pageMargins left="0.7" right="0.7" top="0.75" bottom="0.75" header="0.3" footer="0.3"/>
  <pageSetup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81"/>
  <sheetViews>
    <sheetView zoomScale="55" zoomScaleNormal="55" workbookViewId="0">
      <selection activeCell="G55" sqref="G55"/>
    </sheetView>
  </sheetViews>
  <sheetFormatPr defaultRowHeight="15" x14ac:dyDescent="0.25"/>
  <cols>
    <col min="1" max="1" width="3.85546875" bestFit="1" customWidth="1"/>
    <col min="2" max="2" width="37.28515625" customWidth="1"/>
    <col min="3" max="3" width="9.28515625" customWidth="1"/>
    <col min="4" max="4" width="10.140625" customWidth="1"/>
    <col min="5" max="5" width="7.28515625" customWidth="1"/>
    <col min="6" max="6" width="11.5703125" customWidth="1"/>
    <col min="7" max="7" width="25.85546875" customWidth="1"/>
    <col min="8" max="8" width="7.7109375" customWidth="1"/>
    <col min="9" max="9" width="12.28515625" customWidth="1"/>
    <col min="10" max="10" width="11.7109375" customWidth="1"/>
    <col min="11" max="11" width="14" customWidth="1"/>
    <col min="12" max="12" width="46.140625" style="20" customWidth="1"/>
    <col min="13" max="13" width="8" customWidth="1"/>
    <col min="14" max="14" width="10.85546875" style="44" customWidth="1"/>
    <col min="15" max="15" width="3.42578125" customWidth="1"/>
  </cols>
  <sheetData>
    <row r="2" spans="1:48" x14ac:dyDescent="0.25">
      <c r="D2" s="37"/>
      <c r="E2" s="37"/>
    </row>
    <row r="3" spans="1:48" x14ac:dyDescent="0.25">
      <c r="A3" s="1" t="s">
        <v>72</v>
      </c>
      <c r="B3" s="6" t="s">
        <v>73</v>
      </c>
      <c r="C3" s="6" t="s">
        <v>134</v>
      </c>
      <c r="D3" s="6" t="s">
        <v>135</v>
      </c>
      <c r="E3" s="6" t="s">
        <v>136</v>
      </c>
      <c r="F3" s="6" t="s">
        <v>74</v>
      </c>
      <c r="G3" s="6" t="s">
        <v>309</v>
      </c>
      <c r="H3" s="103" t="s">
        <v>136</v>
      </c>
      <c r="I3" s="103" t="s">
        <v>135</v>
      </c>
      <c r="J3" s="103" t="s">
        <v>74</v>
      </c>
      <c r="K3" s="6" t="s">
        <v>163</v>
      </c>
      <c r="L3" s="21" t="s">
        <v>329</v>
      </c>
      <c r="M3" s="46" t="s">
        <v>164</v>
      </c>
      <c r="N3" s="46" t="s">
        <v>165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x14ac:dyDescent="0.25">
      <c r="A4" s="111">
        <v>1</v>
      </c>
      <c r="B4" s="3" t="s">
        <v>354</v>
      </c>
      <c r="C4" s="104" t="s">
        <v>179</v>
      </c>
      <c r="D4" s="28">
        <v>0</v>
      </c>
      <c r="E4" s="3">
        <v>0</v>
      </c>
      <c r="F4" s="3">
        <v>0</v>
      </c>
      <c r="G4" s="101" t="s">
        <v>355</v>
      </c>
      <c r="H4" s="107">
        <v>1520</v>
      </c>
      <c r="I4" s="129">
        <v>402</v>
      </c>
      <c r="J4" s="107" t="s">
        <v>353</v>
      </c>
      <c r="K4" s="127">
        <v>200</v>
      </c>
      <c r="L4" s="102"/>
      <c r="M4" s="116" t="s">
        <v>361</v>
      </c>
      <c r="N4" s="117">
        <f>SUM(K4:K48)</f>
        <v>6050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x14ac:dyDescent="0.25">
      <c r="A5" s="111">
        <v>2</v>
      </c>
      <c r="B5" s="3" t="s">
        <v>266</v>
      </c>
      <c r="C5" s="104" t="s">
        <v>179</v>
      </c>
      <c r="D5" s="34">
        <v>2154</v>
      </c>
      <c r="E5" s="4">
        <v>14802</v>
      </c>
      <c r="F5" s="3">
        <v>6.87</v>
      </c>
      <c r="G5" s="101" t="s">
        <v>355</v>
      </c>
      <c r="H5" s="108">
        <v>1321</v>
      </c>
      <c r="I5" s="130">
        <v>802</v>
      </c>
      <c r="J5" s="108" t="s">
        <v>330</v>
      </c>
      <c r="K5" s="127">
        <v>800</v>
      </c>
      <c r="L5" s="96"/>
      <c r="M5" s="116"/>
      <c r="N5" s="11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x14ac:dyDescent="0.25">
      <c r="A6" s="111">
        <v>3</v>
      </c>
      <c r="B6" s="3" t="s">
        <v>267</v>
      </c>
      <c r="C6" s="104" t="s">
        <v>179</v>
      </c>
      <c r="D6" s="34">
        <v>3970</v>
      </c>
      <c r="E6" s="4">
        <v>3717</v>
      </c>
      <c r="F6" s="3">
        <v>0.94</v>
      </c>
      <c r="G6" s="101" t="s">
        <v>355</v>
      </c>
      <c r="H6" s="107">
        <v>314</v>
      </c>
      <c r="I6" s="129">
        <v>1200</v>
      </c>
      <c r="J6" s="107" t="s">
        <v>156</v>
      </c>
      <c r="K6" s="127">
        <v>800</v>
      </c>
      <c r="L6" s="96"/>
      <c r="M6" s="116"/>
      <c r="N6" s="11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11">
        <v>4</v>
      </c>
      <c r="B7" s="2" t="s">
        <v>282</v>
      </c>
      <c r="C7" s="104" t="s">
        <v>179</v>
      </c>
      <c r="D7" s="33">
        <v>54</v>
      </c>
      <c r="E7" s="2">
        <v>765</v>
      </c>
      <c r="F7" s="2">
        <v>14.17</v>
      </c>
      <c r="G7" s="101" t="s">
        <v>355</v>
      </c>
      <c r="H7" s="109">
        <v>393</v>
      </c>
      <c r="I7" s="129">
        <v>6</v>
      </c>
      <c r="J7" s="109" t="s">
        <v>337</v>
      </c>
      <c r="K7" s="127">
        <v>100</v>
      </c>
      <c r="L7" s="96"/>
      <c r="M7" s="116"/>
      <c r="N7" s="11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x14ac:dyDescent="0.25">
      <c r="A8" s="111">
        <v>5</v>
      </c>
      <c r="B8" s="3" t="s">
        <v>268</v>
      </c>
      <c r="C8" s="104" t="s">
        <v>179</v>
      </c>
      <c r="D8" s="34">
        <v>1010</v>
      </c>
      <c r="E8" s="4">
        <v>1625</v>
      </c>
      <c r="F8" s="3">
        <v>1.61</v>
      </c>
      <c r="G8" s="101" t="s">
        <v>355</v>
      </c>
      <c r="H8" s="107">
        <v>307</v>
      </c>
      <c r="I8" s="129">
        <v>402</v>
      </c>
      <c r="J8" s="107" t="s">
        <v>331</v>
      </c>
      <c r="K8" s="127">
        <v>300</v>
      </c>
      <c r="L8" s="96"/>
      <c r="M8" s="116"/>
      <c r="N8" s="11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A9" s="111">
        <v>6</v>
      </c>
      <c r="B9" s="27" t="s">
        <v>269</v>
      </c>
      <c r="C9" s="104" t="s">
        <v>179</v>
      </c>
      <c r="D9" s="34">
        <v>1314</v>
      </c>
      <c r="E9" s="98">
        <v>1110</v>
      </c>
      <c r="F9" s="27">
        <v>0.84</v>
      </c>
      <c r="G9" s="101" t="s">
        <v>355</v>
      </c>
      <c r="H9" s="109">
        <v>106</v>
      </c>
      <c r="I9" s="129">
        <v>354</v>
      </c>
      <c r="J9" s="109" t="s">
        <v>239</v>
      </c>
      <c r="K9" s="127">
        <v>500</v>
      </c>
      <c r="L9" s="96"/>
      <c r="M9" s="116"/>
      <c r="N9" s="11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x14ac:dyDescent="0.25">
      <c r="A10" s="111">
        <v>7</v>
      </c>
      <c r="B10" s="3" t="s">
        <v>271</v>
      </c>
      <c r="C10" s="104" t="s">
        <v>179</v>
      </c>
      <c r="D10" s="28">
        <v>8</v>
      </c>
      <c r="E10" s="4">
        <v>2308</v>
      </c>
      <c r="F10" s="3">
        <v>288.5</v>
      </c>
      <c r="G10" s="101" t="s">
        <v>355</v>
      </c>
      <c r="H10" s="109">
        <v>341</v>
      </c>
      <c r="I10" s="129">
        <v>112</v>
      </c>
      <c r="J10" s="109" t="s">
        <v>332</v>
      </c>
      <c r="K10" s="127">
        <v>1000</v>
      </c>
      <c r="L10" s="96"/>
      <c r="M10" s="116"/>
      <c r="N10" s="11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x14ac:dyDescent="0.25">
      <c r="A11" s="111">
        <v>8</v>
      </c>
      <c r="B11" s="2" t="s">
        <v>287</v>
      </c>
      <c r="C11" s="104" t="s">
        <v>179</v>
      </c>
      <c r="D11" s="33">
        <v>24</v>
      </c>
      <c r="E11" s="2">
        <v>811</v>
      </c>
      <c r="F11" s="2">
        <v>33.79</v>
      </c>
      <c r="G11" s="101" t="s">
        <v>356</v>
      </c>
      <c r="H11" s="109">
        <v>178</v>
      </c>
      <c r="I11" s="129">
        <v>138</v>
      </c>
      <c r="J11" s="109" t="s">
        <v>338</v>
      </c>
      <c r="K11" s="127">
        <v>300</v>
      </c>
      <c r="L11" s="96"/>
      <c r="M11" s="116"/>
      <c r="N11" s="11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x14ac:dyDescent="0.25">
      <c r="A12" s="111">
        <v>9</v>
      </c>
      <c r="B12" s="27" t="s">
        <v>270</v>
      </c>
      <c r="C12" s="104" t="s">
        <v>179</v>
      </c>
      <c r="D12" s="34">
        <v>1908</v>
      </c>
      <c r="E12" s="27">
        <v>979</v>
      </c>
      <c r="F12" s="27">
        <v>0.51</v>
      </c>
      <c r="G12" s="101" t="s">
        <v>356</v>
      </c>
      <c r="H12" s="109">
        <v>50</v>
      </c>
      <c r="I12" s="129">
        <v>200</v>
      </c>
      <c r="J12" s="109" t="s">
        <v>148</v>
      </c>
      <c r="K12" s="127">
        <v>500</v>
      </c>
      <c r="L12" s="96"/>
      <c r="M12" s="116"/>
      <c r="N12" s="11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x14ac:dyDescent="0.25">
      <c r="A13" s="111">
        <v>10</v>
      </c>
      <c r="B13" s="3" t="s">
        <v>272</v>
      </c>
      <c r="C13" s="104" t="s">
        <v>179</v>
      </c>
      <c r="D13" s="28">
        <v>172</v>
      </c>
      <c r="E13" s="3">
        <v>367</v>
      </c>
      <c r="F13" s="3">
        <v>2.13</v>
      </c>
      <c r="G13" s="112">
        <v>43425</v>
      </c>
      <c r="H13" s="107">
        <v>6</v>
      </c>
      <c r="I13" s="129">
        <v>100</v>
      </c>
      <c r="J13" s="107" t="s">
        <v>150</v>
      </c>
      <c r="K13" s="127">
        <v>50</v>
      </c>
      <c r="L13" s="96"/>
      <c r="M13" s="116"/>
      <c r="N13" s="11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x14ac:dyDescent="0.25">
      <c r="A14" s="111">
        <v>11</v>
      </c>
      <c r="B14" s="3" t="s">
        <v>273</v>
      </c>
      <c r="C14" s="104" t="s">
        <v>179</v>
      </c>
      <c r="D14" s="28">
        <v>172</v>
      </c>
      <c r="E14" s="3">
        <v>927</v>
      </c>
      <c r="F14" s="3">
        <v>5.39</v>
      </c>
      <c r="G14" s="101" t="s">
        <v>357</v>
      </c>
      <c r="H14" s="107">
        <v>11</v>
      </c>
      <c r="I14" s="129">
        <v>114</v>
      </c>
      <c r="J14" s="107" t="s">
        <v>145</v>
      </c>
      <c r="K14" s="127">
        <v>50</v>
      </c>
      <c r="L14" s="96"/>
      <c r="M14" s="116"/>
      <c r="N14" s="11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x14ac:dyDescent="0.25">
      <c r="A15" s="111">
        <v>12</v>
      </c>
      <c r="B15" s="3" t="s">
        <v>274</v>
      </c>
      <c r="C15" s="104" t="s">
        <v>179</v>
      </c>
      <c r="D15" s="28">
        <v>160</v>
      </c>
      <c r="E15" s="3">
        <v>201</v>
      </c>
      <c r="F15" s="3">
        <v>1.26</v>
      </c>
      <c r="G15" s="101" t="s">
        <v>356</v>
      </c>
      <c r="H15" s="107">
        <v>28</v>
      </c>
      <c r="I15" s="129">
        <v>105</v>
      </c>
      <c r="J15" s="107" t="s">
        <v>237</v>
      </c>
      <c r="K15" s="127">
        <v>50</v>
      </c>
      <c r="L15" s="96"/>
      <c r="M15" s="116"/>
      <c r="N15" s="11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x14ac:dyDescent="0.25">
      <c r="A16" s="111">
        <v>13</v>
      </c>
      <c r="B16" s="2" t="s">
        <v>275</v>
      </c>
      <c r="C16" s="104" t="s">
        <v>179</v>
      </c>
      <c r="D16" s="33">
        <v>130</v>
      </c>
      <c r="E16" s="2">
        <v>633</v>
      </c>
      <c r="F16" s="2">
        <v>4.87</v>
      </c>
      <c r="G16" s="113" t="s">
        <v>196</v>
      </c>
      <c r="H16" s="107">
        <v>0</v>
      </c>
      <c r="I16" s="129">
        <v>6</v>
      </c>
      <c r="J16" s="107">
        <v>0</v>
      </c>
      <c r="K16" s="127">
        <v>100</v>
      </c>
      <c r="L16" s="96"/>
      <c r="M16" s="116"/>
      <c r="N16" s="11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x14ac:dyDescent="0.25">
      <c r="A17" s="111">
        <v>14</v>
      </c>
      <c r="B17" s="2" t="s">
        <v>276</v>
      </c>
      <c r="C17" s="104" t="s">
        <v>179</v>
      </c>
      <c r="D17" s="33">
        <v>100</v>
      </c>
      <c r="E17" s="2">
        <v>69</v>
      </c>
      <c r="F17" s="2">
        <v>0.69</v>
      </c>
      <c r="G17" s="101" t="s">
        <v>224</v>
      </c>
      <c r="H17" s="107">
        <v>11</v>
      </c>
      <c r="I17" s="129">
        <v>53</v>
      </c>
      <c r="J17" s="107" t="s">
        <v>333</v>
      </c>
      <c r="K17" s="127">
        <v>50</v>
      </c>
      <c r="L17" s="96"/>
      <c r="M17" s="116"/>
      <c r="N17" s="11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x14ac:dyDescent="0.25">
      <c r="A18" s="111">
        <v>15</v>
      </c>
      <c r="B18" s="2" t="s">
        <v>277</v>
      </c>
      <c r="C18" s="104" t="s">
        <v>179</v>
      </c>
      <c r="D18" s="33">
        <v>74</v>
      </c>
      <c r="E18" s="2">
        <v>426</v>
      </c>
      <c r="F18" s="2">
        <v>5.76</v>
      </c>
      <c r="G18" s="112">
        <v>43426</v>
      </c>
      <c r="H18" s="107">
        <v>13</v>
      </c>
      <c r="I18" s="129">
        <v>6</v>
      </c>
      <c r="J18" s="107" t="s">
        <v>334</v>
      </c>
      <c r="K18" s="127">
        <v>10</v>
      </c>
      <c r="L18" s="96"/>
      <c r="M18" s="116"/>
      <c r="N18" s="11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x14ac:dyDescent="0.25">
      <c r="A19" s="111">
        <v>16</v>
      </c>
      <c r="B19" s="2" t="s">
        <v>279</v>
      </c>
      <c r="C19" s="104" t="s">
        <v>179</v>
      </c>
      <c r="D19" s="33">
        <v>66</v>
      </c>
      <c r="E19" s="2">
        <v>295</v>
      </c>
      <c r="F19" s="2">
        <v>4.47</v>
      </c>
      <c r="G19" s="112">
        <v>43405</v>
      </c>
      <c r="H19" s="109">
        <v>25</v>
      </c>
      <c r="I19" s="129">
        <v>4</v>
      </c>
      <c r="J19" s="109" t="s">
        <v>335</v>
      </c>
      <c r="K19" s="127">
        <v>10</v>
      </c>
      <c r="L19" s="96"/>
      <c r="M19" s="116"/>
      <c r="N19" s="11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x14ac:dyDescent="0.25">
      <c r="A20" s="111">
        <v>17</v>
      </c>
      <c r="B20" s="2" t="s">
        <v>280</v>
      </c>
      <c r="C20" s="104" t="s">
        <v>179</v>
      </c>
      <c r="D20" s="33">
        <v>62</v>
      </c>
      <c r="E20" s="2">
        <v>227</v>
      </c>
      <c r="F20" s="2">
        <v>3.66</v>
      </c>
      <c r="G20" s="101" t="s">
        <v>356</v>
      </c>
      <c r="H20" s="109">
        <v>24</v>
      </c>
      <c r="I20" s="129">
        <v>12</v>
      </c>
      <c r="J20" s="109">
        <v>2</v>
      </c>
      <c r="K20" s="127">
        <v>10</v>
      </c>
      <c r="L20" s="96"/>
      <c r="M20" s="116"/>
      <c r="N20" s="11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x14ac:dyDescent="0.25">
      <c r="A21" s="111">
        <v>18</v>
      </c>
      <c r="B21" s="2" t="s">
        <v>281</v>
      </c>
      <c r="C21" s="104" t="s">
        <v>179</v>
      </c>
      <c r="D21" s="33">
        <v>54</v>
      </c>
      <c r="E21" s="2">
        <v>470</v>
      </c>
      <c r="F21" s="2">
        <v>8.6999999999999993</v>
      </c>
      <c r="G21" s="101" t="s">
        <v>358</v>
      </c>
      <c r="H21" s="109">
        <v>69</v>
      </c>
      <c r="I21" s="129">
        <v>100</v>
      </c>
      <c r="J21" s="109" t="s">
        <v>336</v>
      </c>
      <c r="K21" s="127">
        <v>100</v>
      </c>
      <c r="L21" s="96"/>
      <c r="M21" s="116"/>
      <c r="N21" s="11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x14ac:dyDescent="0.25">
      <c r="A22" s="111">
        <v>19</v>
      </c>
      <c r="B22" s="2" t="s">
        <v>283</v>
      </c>
      <c r="C22" s="104" t="s">
        <v>179</v>
      </c>
      <c r="D22" s="33">
        <v>42</v>
      </c>
      <c r="E22" s="2">
        <v>265</v>
      </c>
      <c r="F22" s="2">
        <v>6.31</v>
      </c>
      <c r="G22" s="101" t="s">
        <v>196</v>
      </c>
      <c r="H22" s="109">
        <v>0</v>
      </c>
      <c r="I22" s="129">
        <v>4</v>
      </c>
      <c r="J22" s="109">
        <v>0</v>
      </c>
      <c r="K22" s="127">
        <v>0</v>
      </c>
      <c r="L22" s="96"/>
      <c r="M22" s="116"/>
      <c r="N22" s="11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x14ac:dyDescent="0.25">
      <c r="A23" s="111">
        <v>20</v>
      </c>
      <c r="B23" s="2" t="s">
        <v>284</v>
      </c>
      <c r="C23" s="104" t="s">
        <v>179</v>
      </c>
      <c r="D23" s="33">
        <v>36</v>
      </c>
      <c r="E23" s="2">
        <v>481</v>
      </c>
      <c r="F23" s="2">
        <v>13.36</v>
      </c>
      <c r="G23" s="101" t="s">
        <v>358</v>
      </c>
      <c r="H23" s="107">
        <v>27</v>
      </c>
      <c r="I23" s="129">
        <v>0</v>
      </c>
      <c r="J23" s="107">
        <v>0</v>
      </c>
      <c r="K23" s="127">
        <v>200</v>
      </c>
      <c r="L23" s="96"/>
      <c r="M23" s="116"/>
      <c r="N23" s="11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x14ac:dyDescent="0.25">
      <c r="A24" s="111">
        <v>21</v>
      </c>
      <c r="B24" s="2" t="s">
        <v>285</v>
      </c>
      <c r="C24" s="104" t="s">
        <v>179</v>
      </c>
      <c r="D24" s="33">
        <v>30</v>
      </c>
      <c r="E24" s="2">
        <v>124</v>
      </c>
      <c r="F24" s="2">
        <v>4.13</v>
      </c>
      <c r="G24" s="101" t="s">
        <v>196</v>
      </c>
      <c r="H24" s="107">
        <v>0</v>
      </c>
      <c r="I24" s="129">
        <v>18</v>
      </c>
      <c r="J24" s="107">
        <v>0</v>
      </c>
      <c r="K24" s="127">
        <v>20</v>
      </c>
      <c r="L24" s="96"/>
      <c r="M24" s="116"/>
      <c r="N24" s="11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x14ac:dyDescent="0.25">
      <c r="A25" s="111">
        <v>22</v>
      </c>
      <c r="B25" s="2" t="s">
        <v>286</v>
      </c>
      <c r="C25" s="104" t="s">
        <v>179</v>
      </c>
      <c r="D25" s="33">
        <v>30</v>
      </c>
      <c r="E25" s="2">
        <v>93</v>
      </c>
      <c r="F25" s="2">
        <v>3.1</v>
      </c>
      <c r="G25" s="101" t="s">
        <v>224</v>
      </c>
      <c r="H25" s="107">
        <v>20</v>
      </c>
      <c r="I25" s="129">
        <v>4</v>
      </c>
      <c r="J25" s="107">
        <v>5</v>
      </c>
      <c r="K25" s="127">
        <v>10</v>
      </c>
      <c r="L25" s="96"/>
      <c r="M25" s="116"/>
      <c r="N25" s="11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x14ac:dyDescent="0.25">
      <c r="A26" s="111">
        <v>23</v>
      </c>
      <c r="B26" s="2" t="s">
        <v>288</v>
      </c>
      <c r="C26" s="104" t="s">
        <v>179</v>
      </c>
      <c r="D26" s="33">
        <v>22</v>
      </c>
      <c r="E26" s="62">
        <v>1685</v>
      </c>
      <c r="F26" s="2">
        <v>76.59</v>
      </c>
      <c r="G26" s="112">
        <v>43433</v>
      </c>
      <c r="H26" s="109">
        <v>78</v>
      </c>
      <c r="I26" s="129">
        <v>5</v>
      </c>
      <c r="J26" s="109" t="s">
        <v>339</v>
      </c>
      <c r="K26" s="127">
        <v>100</v>
      </c>
      <c r="L26" s="96"/>
      <c r="M26" s="116"/>
      <c r="N26" s="11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x14ac:dyDescent="0.25">
      <c r="A27" s="111">
        <v>24</v>
      </c>
      <c r="B27" s="27" t="s">
        <v>289</v>
      </c>
      <c r="C27" s="104" t="s">
        <v>179</v>
      </c>
      <c r="D27" s="28">
        <v>14</v>
      </c>
      <c r="E27" s="27">
        <v>760</v>
      </c>
      <c r="F27" s="98">
        <v>54.29</v>
      </c>
      <c r="G27" s="101" t="s">
        <v>196</v>
      </c>
      <c r="H27" s="109">
        <v>0</v>
      </c>
      <c r="I27" s="129">
        <v>8</v>
      </c>
      <c r="J27" s="109">
        <v>0</v>
      </c>
      <c r="K27" s="127">
        <v>0</v>
      </c>
      <c r="L27" s="96"/>
      <c r="M27" s="116"/>
      <c r="N27" s="11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x14ac:dyDescent="0.25">
      <c r="A28" s="111">
        <v>25</v>
      </c>
      <c r="B28" s="97" t="s">
        <v>290</v>
      </c>
      <c r="C28" s="104" t="s">
        <v>179</v>
      </c>
      <c r="D28" s="132">
        <v>12</v>
      </c>
      <c r="E28" s="100">
        <v>259</v>
      </c>
      <c r="F28" s="97">
        <v>21.58</v>
      </c>
      <c r="G28" s="101" t="s">
        <v>355</v>
      </c>
      <c r="H28" s="109">
        <v>79</v>
      </c>
      <c r="I28" s="129">
        <v>8</v>
      </c>
      <c r="J28" s="109" t="s">
        <v>340</v>
      </c>
      <c r="K28" s="127">
        <v>10</v>
      </c>
      <c r="L28" s="96"/>
      <c r="M28" s="116"/>
      <c r="N28" s="11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x14ac:dyDescent="0.25">
      <c r="A29" s="111">
        <v>26</v>
      </c>
      <c r="B29" s="2" t="s">
        <v>291</v>
      </c>
      <c r="C29" s="104" t="s">
        <v>179</v>
      </c>
      <c r="D29" s="33">
        <v>10</v>
      </c>
      <c r="E29" s="62">
        <v>656</v>
      </c>
      <c r="F29" s="2">
        <v>65.599999999999994</v>
      </c>
      <c r="G29" s="112">
        <v>43372</v>
      </c>
      <c r="H29" s="109">
        <v>1</v>
      </c>
      <c r="I29" s="129">
        <v>16</v>
      </c>
      <c r="J29" s="109" t="s">
        <v>150</v>
      </c>
      <c r="K29" s="127">
        <v>10</v>
      </c>
      <c r="L29" s="96"/>
      <c r="M29" s="116"/>
      <c r="N29" s="11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x14ac:dyDescent="0.25">
      <c r="A30" s="111">
        <v>27</v>
      </c>
      <c r="B30" s="2" t="s">
        <v>293</v>
      </c>
      <c r="C30" s="104" t="s">
        <v>179</v>
      </c>
      <c r="D30" s="33">
        <v>8</v>
      </c>
      <c r="E30" s="62">
        <v>129</v>
      </c>
      <c r="F30" s="2">
        <v>16.13</v>
      </c>
      <c r="G30" s="101" t="s">
        <v>358</v>
      </c>
      <c r="H30" s="107">
        <v>22</v>
      </c>
      <c r="I30" s="129">
        <v>13</v>
      </c>
      <c r="J30" s="107" t="s">
        <v>341</v>
      </c>
      <c r="K30" s="127">
        <v>10</v>
      </c>
      <c r="L30" s="96"/>
      <c r="M30" s="116"/>
      <c r="N30" s="11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x14ac:dyDescent="0.25">
      <c r="A31" s="111">
        <v>28</v>
      </c>
      <c r="B31" s="2" t="s">
        <v>294</v>
      </c>
      <c r="C31" s="104" t="s">
        <v>179</v>
      </c>
      <c r="D31" s="33">
        <v>7</v>
      </c>
      <c r="E31" s="62">
        <v>125</v>
      </c>
      <c r="F31" s="2">
        <v>17.86</v>
      </c>
      <c r="G31" s="112">
        <v>43372</v>
      </c>
      <c r="H31" s="107">
        <v>1</v>
      </c>
      <c r="I31" s="129">
        <v>0</v>
      </c>
      <c r="J31" s="107">
        <v>0</v>
      </c>
      <c r="K31" s="127">
        <v>0</v>
      </c>
      <c r="L31" s="96"/>
      <c r="M31" s="116"/>
      <c r="N31" s="11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x14ac:dyDescent="0.25">
      <c r="A32" s="111">
        <v>29</v>
      </c>
      <c r="B32" s="2" t="s">
        <v>295</v>
      </c>
      <c r="C32" s="104" t="s">
        <v>179</v>
      </c>
      <c r="D32" s="33">
        <v>7</v>
      </c>
      <c r="E32" s="62">
        <v>842</v>
      </c>
      <c r="F32" s="2">
        <v>120.29</v>
      </c>
      <c r="G32" s="101" t="s">
        <v>355</v>
      </c>
      <c r="H32" s="107">
        <v>36</v>
      </c>
      <c r="I32" s="129">
        <v>6</v>
      </c>
      <c r="J32" s="107">
        <v>6</v>
      </c>
      <c r="K32" s="127">
        <v>10</v>
      </c>
      <c r="L32" s="96"/>
      <c r="M32" s="116"/>
      <c r="N32" s="11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x14ac:dyDescent="0.25">
      <c r="A33" s="111">
        <v>30</v>
      </c>
      <c r="B33" s="2" t="s">
        <v>296</v>
      </c>
      <c r="C33" s="104" t="s">
        <v>179</v>
      </c>
      <c r="D33" s="33">
        <v>6</v>
      </c>
      <c r="E33" s="62">
        <v>519</v>
      </c>
      <c r="F33" s="2">
        <v>86.5</v>
      </c>
      <c r="G33" s="101" t="s">
        <v>224</v>
      </c>
      <c r="H33" s="107">
        <v>21</v>
      </c>
      <c r="I33" s="129">
        <v>2</v>
      </c>
      <c r="J33" s="107" t="s">
        <v>342</v>
      </c>
      <c r="K33" s="127">
        <v>100</v>
      </c>
      <c r="L33" s="96"/>
      <c r="M33" s="116"/>
      <c r="N33" s="11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x14ac:dyDescent="0.25">
      <c r="A34" s="111">
        <v>31</v>
      </c>
      <c r="B34" s="2" t="s">
        <v>297</v>
      </c>
      <c r="C34" s="104" t="s">
        <v>179</v>
      </c>
      <c r="D34" s="33">
        <v>6</v>
      </c>
      <c r="E34" s="62">
        <v>90</v>
      </c>
      <c r="F34" s="2">
        <v>15</v>
      </c>
      <c r="G34" s="112">
        <v>43357</v>
      </c>
      <c r="H34" s="109">
        <v>48</v>
      </c>
      <c r="I34" s="129">
        <v>18</v>
      </c>
      <c r="J34" s="109" t="s">
        <v>343</v>
      </c>
      <c r="K34" s="127">
        <v>100</v>
      </c>
      <c r="L34" s="96"/>
      <c r="M34" s="116"/>
      <c r="N34" s="11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x14ac:dyDescent="0.25">
      <c r="A35" s="111">
        <v>32</v>
      </c>
      <c r="B35" s="2" t="s">
        <v>298</v>
      </c>
      <c r="C35" s="104" t="s">
        <v>179</v>
      </c>
      <c r="D35" s="33">
        <v>4</v>
      </c>
      <c r="E35" s="62">
        <v>528</v>
      </c>
      <c r="F35" s="2">
        <v>132</v>
      </c>
      <c r="G35" s="101" t="s">
        <v>359</v>
      </c>
      <c r="H35" s="109">
        <v>96</v>
      </c>
      <c r="I35" s="129">
        <v>4</v>
      </c>
      <c r="J35" s="109">
        <v>24</v>
      </c>
      <c r="K35" s="127">
        <v>50</v>
      </c>
      <c r="L35" s="96"/>
      <c r="M35" s="116"/>
      <c r="N35" s="11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x14ac:dyDescent="0.25">
      <c r="A36" s="111">
        <v>33</v>
      </c>
      <c r="B36" s="2" t="s">
        <v>299</v>
      </c>
      <c r="C36" s="104" t="s">
        <v>179</v>
      </c>
      <c r="D36" s="33">
        <v>4</v>
      </c>
      <c r="E36" s="62">
        <v>158</v>
      </c>
      <c r="F36" s="2">
        <v>39.5</v>
      </c>
      <c r="G36" s="101" t="s">
        <v>360</v>
      </c>
      <c r="H36" s="109">
        <v>20</v>
      </c>
      <c r="I36" s="129">
        <v>4</v>
      </c>
      <c r="J36" s="109">
        <v>5</v>
      </c>
      <c r="K36" s="127">
        <v>50</v>
      </c>
      <c r="L36" s="96"/>
      <c r="M36" s="116"/>
      <c r="N36" s="11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x14ac:dyDescent="0.25">
      <c r="A37" s="111">
        <v>34</v>
      </c>
      <c r="B37" s="2" t="s">
        <v>302</v>
      </c>
      <c r="C37" s="104" t="s">
        <v>179</v>
      </c>
      <c r="D37" s="33">
        <v>4</v>
      </c>
      <c r="E37" s="62">
        <v>97</v>
      </c>
      <c r="F37" s="2">
        <v>24.25</v>
      </c>
      <c r="G37" s="101" t="s">
        <v>196</v>
      </c>
      <c r="H37" s="107">
        <v>0</v>
      </c>
      <c r="I37" s="129">
        <v>2</v>
      </c>
      <c r="J37" s="107">
        <v>0</v>
      </c>
      <c r="K37" s="127">
        <v>0</v>
      </c>
      <c r="L37" s="96"/>
      <c r="M37" s="116"/>
      <c r="N37" s="11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x14ac:dyDescent="0.25">
      <c r="A38" s="111">
        <v>35</v>
      </c>
      <c r="B38" s="2" t="s">
        <v>305</v>
      </c>
      <c r="C38" s="104" t="s">
        <v>179</v>
      </c>
      <c r="D38" s="33">
        <v>4</v>
      </c>
      <c r="E38" s="62">
        <v>249</v>
      </c>
      <c r="F38" s="2">
        <v>62.25</v>
      </c>
      <c r="G38" s="101" t="s">
        <v>196</v>
      </c>
      <c r="H38" s="109">
        <v>0</v>
      </c>
      <c r="I38" s="129">
        <v>2</v>
      </c>
      <c r="J38" s="109">
        <v>0</v>
      </c>
      <c r="K38" s="127">
        <v>0</v>
      </c>
      <c r="L38" s="96"/>
      <c r="M38" s="116"/>
      <c r="N38" s="11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x14ac:dyDescent="0.25">
      <c r="A39" s="111">
        <v>36</v>
      </c>
      <c r="B39" s="2" t="s">
        <v>306</v>
      </c>
      <c r="C39" s="104" t="s">
        <v>179</v>
      </c>
      <c r="D39" s="33">
        <v>2</v>
      </c>
      <c r="E39" s="62">
        <v>126</v>
      </c>
      <c r="F39" s="2">
        <v>63</v>
      </c>
      <c r="G39" s="112">
        <v>43421</v>
      </c>
      <c r="H39" s="109">
        <v>7</v>
      </c>
      <c r="I39" s="129">
        <v>2</v>
      </c>
      <c r="J39" s="109" t="s">
        <v>344</v>
      </c>
      <c r="K39" s="127">
        <v>50</v>
      </c>
      <c r="L39" s="96"/>
      <c r="M39" s="116"/>
      <c r="N39" s="11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x14ac:dyDescent="0.25">
      <c r="A40" s="111">
        <v>37</v>
      </c>
      <c r="B40" s="2" t="s">
        <v>307</v>
      </c>
      <c r="C40" s="104" t="s">
        <v>179</v>
      </c>
      <c r="D40" s="33">
        <v>2</v>
      </c>
      <c r="E40" s="62">
        <v>1166</v>
      </c>
      <c r="F40" s="2">
        <v>583</v>
      </c>
      <c r="G40" s="112">
        <v>43355</v>
      </c>
      <c r="H40" s="107">
        <v>2</v>
      </c>
      <c r="I40" s="129">
        <v>5</v>
      </c>
      <c r="J40" s="107" t="s">
        <v>345</v>
      </c>
      <c r="K40" s="127">
        <v>50</v>
      </c>
      <c r="L40" s="96"/>
      <c r="M40" s="116"/>
      <c r="N40" s="11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x14ac:dyDescent="0.25">
      <c r="A41" s="111">
        <v>38</v>
      </c>
      <c r="B41" s="2" t="s">
        <v>308</v>
      </c>
      <c r="C41" s="104" t="s">
        <v>179</v>
      </c>
      <c r="D41" s="33">
        <v>4</v>
      </c>
      <c r="E41" s="62">
        <v>1481</v>
      </c>
      <c r="F41" s="2">
        <v>370.25</v>
      </c>
      <c r="G41" s="101" t="s">
        <v>196</v>
      </c>
      <c r="H41" s="107">
        <v>0</v>
      </c>
      <c r="I41" s="129">
        <v>5</v>
      </c>
      <c r="J41" s="107">
        <v>0</v>
      </c>
      <c r="K41" s="127">
        <v>50</v>
      </c>
      <c r="L41" s="96"/>
      <c r="M41" s="116"/>
      <c r="N41" s="11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x14ac:dyDescent="0.25">
      <c r="A42" s="111">
        <v>39</v>
      </c>
      <c r="B42" s="2" t="s">
        <v>292</v>
      </c>
      <c r="C42" s="99" t="s">
        <v>179</v>
      </c>
      <c r="D42" s="33">
        <v>10</v>
      </c>
      <c r="E42" s="62">
        <v>251</v>
      </c>
      <c r="F42" s="2">
        <v>25.1</v>
      </c>
      <c r="G42" s="113" t="s">
        <v>196</v>
      </c>
      <c r="H42" s="110"/>
      <c r="I42" s="131"/>
      <c r="J42" s="110"/>
      <c r="K42" s="127"/>
      <c r="L42" s="96"/>
      <c r="M42" s="116"/>
      <c r="N42" s="11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x14ac:dyDescent="0.25">
      <c r="A43" s="111">
        <v>40</v>
      </c>
      <c r="B43" s="2" t="s">
        <v>300</v>
      </c>
      <c r="C43" s="99" t="s">
        <v>179</v>
      </c>
      <c r="D43" s="33">
        <v>4</v>
      </c>
      <c r="E43" s="62">
        <v>242</v>
      </c>
      <c r="F43" s="2">
        <v>60.5</v>
      </c>
      <c r="G43" s="113" t="s">
        <v>196</v>
      </c>
      <c r="H43" s="110"/>
      <c r="I43" s="131"/>
      <c r="J43" s="110"/>
      <c r="K43" s="127"/>
      <c r="L43" s="96"/>
      <c r="M43" s="116"/>
      <c r="N43" s="11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x14ac:dyDescent="0.25">
      <c r="A44" s="111">
        <v>41</v>
      </c>
      <c r="B44" s="2" t="s">
        <v>301</v>
      </c>
      <c r="C44" s="99" t="s">
        <v>179</v>
      </c>
      <c r="D44" s="33">
        <v>4</v>
      </c>
      <c r="E44" s="62">
        <v>124</v>
      </c>
      <c r="F44" s="2">
        <v>31</v>
      </c>
      <c r="G44" s="113" t="s">
        <v>196</v>
      </c>
      <c r="H44" s="110"/>
      <c r="I44" s="131"/>
      <c r="J44" s="110"/>
      <c r="K44" s="127"/>
      <c r="L44" s="96"/>
      <c r="M44" s="116"/>
      <c r="N44" s="11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x14ac:dyDescent="0.25">
      <c r="A45" s="111">
        <v>42</v>
      </c>
      <c r="B45" s="2" t="s">
        <v>304</v>
      </c>
      <c r="C45" s="99" t="s">
        <v>179</v>
      </c>
      <c r="D45" s="33">
        <v>4</v>
      </c>
      <c r="E45" s="62">
        <v>177</v>
      </c>
      <c r="F45" s="2">
        <v>44.25</v>
      </c>
      <c r="G45" s="113" t="s">
        <v>196</v>
      </c>
      <c r="H45" s="110"/>
      <c r="I45" s="131"/>
      <c r="J45" s="110"/>
      <c r="K45" s="127"/>
      <c r="L45" s="96"/>
      <c r="M45" s="116"/>
      <c r="N45" s="11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x14ac:dyDescent="0.25">
      <c r="A46" s="111">
        <v>43</v>
      </c>
      <c r="B46" s="2" t="s">
        <v>303</v>
      </c>
      <c r="C46" s="99" t="s">
        <v>179</v>
      </c>
      <c r="D46" s="33">
        <v>4</v>
      </c>
      <c r="E46" s="62">
        <v>163</v>
      </c>
      <c r="F46" s="2">
        <v>40.75</v>
      </c>
      <c r="G46" s="113" t="s">
        <v>196</v>
      </c>
      <c r="H46" s="110"/>
      <c r="I46" s="131"/>
      <c r="J46" s="110"/>
      <c r="K46" s="127"/>
      <c r="L46" s="96"/>
      <c r="M46" s="116"/>
      <c r="N46" s="11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x14ac:dyDescent="0.25">
      <c r="A47" s="111">
        <v>44</v>
      </c>
      <c r="B47" s="2" t="s">
        <v>278</v>
      </c>
      <c r="C47" s="99" t="s">
        <v>179</v>
      </c>
      <c r="D47" s="33">
        <v>70</v>
      </c>
      <c r="E47" s="2">
        <v>202</v>
      </c>
      <c r="F47" s="2">
        <v>2.89</v>
      </c>
      <c r="G47" s="113" t="s">
        <v>196</v>
      </c>
      <c r="H47" s="110"/>
      <c r="I47" s="131"/>
      <c r="J47" s="110"/>
      <c r="K47" s="127"/>
      <c r="L47" s="96"/>
      <c r="M47" s="116"/>
      <c r="N47" s="11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 x14ac:dyDescent="0.25">
      <c r="A48" s="2"/>
      <c r="B48" s="119" t="s">
        <v>363</v>
      </c>
      <c r="C48" s="119"/>
      <c r="D48" s="119"/>
      <c r="E48" s="119"/>
      <c r="F48" s="119"/>
      <c r="G48" s="119"/>
      <c r="H48" s="119"/>
      <c r="I48" s="119"/>
      <c r="J48" s="119"/>
      <c r="K48" s="128">
        <v>300</v>
      </c>
      <c r="L48" s="9"/>
      <c r="M48" s="116"/>
      <c r="N48" s="11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x14ac:dyDescent="0.25">
      <c r="A49" s="111">
        <v>45</v>
      </c>
      <c r="B49" s="3" t="s">
        <v>354</v>
      </c>
      <c r="C49" s="104" t="s">
        <v>180</v>
      </c>
      <c r="D49" s="28">
        <v>0</v>
      </c>
      <c r="E49" s="3">
        <v>0</v>
      </c>
      <c r="F49" s="3">
        <v>0</v>
      </c>
      <c r="G49" s="101" t="s">
        <v>355</v>
      </c>
      <c r="H49" s="107">
        <v>1520</v>
      </c>
      <c r="I49" s="129">
        <v>402</v>
      </c>
      <c r="J49" s="107" t="s">
        <v>353</v>
      </c>
      <c r="K49" s="127">
        <v>500</v>
      </c>
      <c r="L49" s="96"/>
      <c r="M49" s="118" t="s">
        <v>362</v>
      </c>
      <c r="N49" s="118">
        <f>SUM(K49:K72)</f>
        <v>2000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x14ac:dyDescent="0.25">
      <c r="A50" s="111">
        <v>46</v>
      </c>
      <c r="B50" s="2" t="s">
        <v>328</v>
      </c>
      <c r="C50" s="104" t="s">
        <v>180</v>
      </c>
      <c r="D50" s="33">
        <v>272</v>
      </c>
      <c r="E50" s="62">
        <v>1314</v>
      </c>
      <c r="F50" s="2">
        <v>4.83</v>
      </c>
      <c r="G50" s="101" t="s">
        <v>355</v>
      </c>
      <c r="H50" s="109">
        <v>226</v>
      </c>
      <c r="I50" s="129">
        <v>225</v>
      </c>
      <c r="J50" s="109">
        <v>1</v>
      </c>
      <c r="K50" s="127">
        <v>100</v>
      </c>
      <c r="L50" s="96"/>
      <c r="M50" s="118"/>
      <c r="N50" s="118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x14ac:dyDescent="0.25">
      <c r="A51" s="111">
        <v>47</v>
      </c>
      <c r="B51" s="2" t="s">
        <v>318</v>
      </c>
      <c r="C51" s="104" t="s">
        <v>180</v>
      </c>
      <c r="D51" s="33">
        <v>70</v>
      </c>
      <c r="E51" s="2">
        <v>215</v>
      </c>
      <c r="F51" s="2">
        <v>3.07</v>
      </c>
      <c r="G51" s="101" t="s">
        <v>224</v>
      </c>
      <c r="H51" s="107">
        <v>160</v>
      </c>
      <c r="I51" s="129">
        <v>44</v>
      </c>
      <c r="J51" s="107" t="s">
        <v>350</v>
      </c>
      <c r="K51" s="127">
        <v>100</v>
      </c>
      <c r="L51" s="96"/>
      <c r="M51" s="118"/>
      <c r="N51" s="118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x14ac:dyDescent="0.25">
      <c r="A52" s="111">
        <v>48</v>
      </c>
      <c r="B52" s="2" t="s">
        <v>325</v>
      </c>
      <c r="C52" s="104" t="s">
        <v>180</v>
      </c>
      <c r="D52" s="33">
        <v>220</v>
      </c>
      <c r="E52" s="62">
        <v>2242</v>
      </c>
      <c r="F52" s="2">
        <v>10.19</v>
      </c>
      <c r="G52" s="101" t="s">
        <v>355</v>
      </c>
      <c r="H52" s="107">
        <v>156</v>
      </c>
      <c r="I52" s="129">
        <v>12</v>
      </c>
      <c r="J52" s="107">
        <v>13</v>
      </c>
      <c r="K52" s="127">
        <v>200</v>
      </c>
      <c r="L52" s="96"/>
      <c r="M52" s="118"/>
      <c r="N52" s="118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x14ac:dyDescent="0.25">
      <c r="A53" s="111">
        <v>49</v>
      </c>
      <c r="B53" s="2" t="s">
        <v>326</v>
      </c>
      <c r="C53" s="104" t="s">
        <v>180</v>
      </c>
      <c r="D53" s="33">
        <v>830</v>
      </c>
      <c r="E53" s="2">
        <v>485</v>
      </c>
      <c r="F53" s="2">
        <v>0.57999999999999996</v>
      </c>
      <c r="G53" s="101" t="s">
        <v>360</v>
      </c>
      <c r="H53" s="109">
        <v>112</v>
      </c>
      <c r="I53" s="129">
        <v>400</v>
      </c>
      <c r="J53" s="109" t="s">
        <v>352</v>
      </c>
      <c r="K53" s="127">
        <v>100</v>
      </c>
      <c r="L53" s="96"/>
      <c r="M53" s="118"/>
      <c r="N53" s="118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x14ac:dyDescent="0.25">
      <c r="A54" s="111">
        <v>50</v>
      </c>
      <c r="B54" s="2" t="s">
        <v>317</v>
      </c>
      <c r="C54" s="104" t="s">
        <v>180</v>
      </c>
      <c r="D54" s="33">
        <v>78</v>
      </c>
      <c r="E54" s="2">
        <v>164</v>
      </c>
      <c r="F54" s="2">
        <v>2.1</v>
      </c>
      <c r="G54" s="101" t="s">
        <v>355</v>
      </c>
      <c r="H54" s="107">
        <v>76</v>
      </c>
      <c r="I54" s="129">
        <v>44</v>
      </c>
      <c r="J54" s="107" t="s">
        <v>349</v>
      </c>
      <c r="K54" s="127">
        <v>30</v>
      </c>
      <c r="L54" s="96"/>
      <c r="M54" s="118"/>
      <c r="N54" s="118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x14ac:dyDescent="0.25">
      <c r="A55" s="111">
        <v>51</v>
      </c>
      <c r="B55" s="3" t="s">
        <v>314</v>
      </c>
      <c r="C55" s="104" t="s">
        <v>180</v>
      </c>
      <c r="D55" s="28">
        <v>106</v>
      </c>
      <c r="E55" s="3">
        <v>678</v>
      </c>
      <c r="F55" s="3">
        <v>6.4</v>
      </c>
      <c r="G55" s="101" t="s">
        <v>355</v>
      </c>
      <c r="H55" s="107">
        <v>72</v>
      </c>
      <c r="I55" s="129">
        <v>36</v>
      </c>
      <c r="J55" s="107">
        <v>2</v>
      </c>
      <c r="K55" s="127">
        <v>100</v>
      </c>
      <c r="L55" s="96"/>
      <c r="M55" s="118"/>
      <c r="N55" s="118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x14ac:dyDescent="0.25">
      <c r="A56" s="111">
        <v>52</v>
      </c>
      <c r="B56" s="2" t="s">
        <v>324</v>
      </c>
      <c r="C56" s="104" t="s">
        <v>180</v>
      </c>
      <c r="D56" s="33">
        <v>424</v>
      </c>
      <c r="E56" s="62">
        <v>1800</v>
      </c>
      <c r="F56" s="2">
        <v>4.25</v>
      </c>
      <c r="G56" s="101" t="s">
        <v>355</v>
      </c>
      <c r="H56" s="109">
        <v>66</v>
      </c>
      <c r="I56" s="129">
        <v>234</v>
      </c>
      <c r="J56" s="109" t="s">
        <v>352</v>
      </c>
      <c r="K56" s="127">
        <v>100</v>
      </c>
      <c r="L56" s="96"/>
      <c r="M56" s="118"/>
      <c r="N56" s="118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x14ac:dyDescent="0.25">
      <c r="A57" s="111">
        <v>53</v>
      </c>
      <c r="B57" s="2" t="s">
        <v>323</v>
      </c>
      <c r="C57" s="104" t="s">
        <v>180</v>
      </c>
      <c r="D57" s="33">
        <v>464</v>
      </c>
      <c r="E57" s="2">
        <v>272</v>
      </c>
      <c r="F57" s="2">
        <v>0.59</v>
      </c>
      <c r="G57" s="101" t="s">
        <v>359</v>
      </c>
      <c r="H57" s="109">
        <v>40</v>
      </c>
      <c r="I57" s="129">
        <v>150</v>
      </c>
      <c r="J57" s="109" t="s">
        <v>237</v>
      </c>
      <c r="K57" s="127">
        <v>100</v>
      </c>
      <c r="L57" s="96"/>
      <c r="M57" s="118"/>
      <c r="N57" s="118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x14ac:dyDescent="0.25">
      <c r="A58" s="111">
        <v>54</v>
      </c>
      <c r="B58" s="105" t="s">
        <v>12</v>
      </c>
      <c r="C58" s="104" t="s">
        <v>180</v>
      </c>
      <c r="D58" s="28">
        <v>770</v>
      </c>
      <c r="E58" s="105">
        <v>499</v>
      </c>
      <c r="F58" s="105">
        <v>0.65</v>
      </c>
      <c r="G58" s="101" t="s">
        <v>358</v>
      </c>
      <c r="H58" s="109">
        <v>33</v>
      </c>
      <c r="I58" s="129">
        <v>400</v>
      </c>
      <c r="J58" s="109" t="s">
        <v>151</v>
      </c>
      <c r="K58" s="127">
        <v>200</v>
      </c>
      <c r="L58" s="96"/>
      <c r="M58" s="118"/>
      <c r="N58" s="118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x14ac:dyDescent="0.25">
      <c r="A59" s="111">
        <v>55</v>
      </c>
      <c r="B59" s="3" t="s">
        <v>316</v>
      </c>
      <c r="C59" s="104" t="s">
        <v>180</v>
      </c>
      <c r="D59" s="28">
        <v>100</v>
      </c>
      <c r="E59" s="3">
        <v>56</v>
      </c>
      <c r="F59" s="3">
        <v>0.56000000000000005</v>
      </c>
      <c r="G59" s="101" t="s">
        <v>358</v>
      </c>
      <c r="H59" s="107">
        <v>23</v>
      </c>
      <c r="I59" s="129">
        <v>20</v>
      </c>
      <c r="J59" s="107" t="s">
        <v>348</v>
      </c>
      <c r="K59" s="127">
        <v>50</v>
      </c>
      <c r="L59" s="96"/>
      <c r="M59" s="118"/>
      <c r="N59" s="118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x14ac:dyDescent="0.25">
      <c r="A60" s="111">
        <v>56</v>
      </c>
      <c r="B60" s="3" t="s">
        <v>313</v>
      </c>
      <c r="C60" s="104" t="s">
        <v>180</v>
      </c>
      <c r="D60" s="28">
        <v>131</v>
      </c>
      <c r="E60" s="4">
        <v>254</v>
      </c>
      <c r="F60" s="3">
        <v>1.94</v>
      </c>
      <c r="G60" s="101" t="s">
        <v>359</v>
      </c>
      <c r="H60" s="107">
        <v>20</v>
      </c>
      <c r="I60" s="129">
        <v>20</v>
      </c>
      <c r="J60" s="107">
        <v>1</v>
      </c>
      <c r="K60" s="127">
        <v>30</v>
      </c>
      <c r="L60" s="96"/>
      <c r="M60" s="118"/>
      <c r="N60" s="118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x14ac:dyDescent="0.25">
      <c r="A61" s="111">
        <v>57</v>
      </c>
      <c r="B61" s="105" t="s">
        <v>218</v>
      </c>
      <c r="C61" s="104" t="s">
        <v>180</v>
      </c>
      <c r="D61" s="34">
        <v>258</v>
      </c>
      <c r="E61" s="106">
        <v>140</v>
      </c>
      <c r="F61" s="105">
        <v>0.54</v>
      </c>
      <c r="G61" s="101" t="s">
        <v>224</v>
      </c>
      <c r="H61" s="109">
        <v>17</v>
      </c>
      <c r="I61" s="129">
        <v>180</v>
      </c>
      <c r="J61" s="109" t="s">
        <v>346</v>
      </c>
      <c r="K61" s="127">
        <v>50</v>
      </c>
      <c r="L61" s="96"/>
      <c r="M61" s="118"/>
      <c r="N61" s="118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x14ac:dyDescent="0.25">
      <c r="A62" s="111">
        <v>58</v>
      </c>
      <c r="B62" s="105" t="s">
        <v>15</v>
      </c>
      <c r="C62" s="104" t="s">
        <v>180</v>
      </c>
      <c r="D62" s="28">
        <v>600</v>
      </c>
      <c r="E62" s="105">
        <v>298</v>
      </c>
      <c r="F62" s="105">
        <v>0.5</v>
      </c>
      <c r="G62" s="112">
        <v>43423</v>
      </c>
      <c r="H62" s="107">
        <v>12</v>
      </c>
      <c r="I62" s="129">
        <v>100</v>
      </c>
      <c r="J62" s="107" t="s">
        <v>146</v>
      </c>
      <c r="K62" s="127">
        <v>30</v>
      </c>
      <c r="L62" s="96"/>
      <c r="M62" s="118"/>
      <c r="N62" s="118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x14ac:dyDescent="0.25">
      <c r="A63" s="111">
        <v>59</v>
      </c>
      <c r="B63" s="3" t="s">
        <v>311</v>
      </c>
      <c r="C63" s="104" t="s">
        <v>180</v>
      </c>
      <c r="D63" s="34">
        <v>170</v>
      </c>
      <c r="E63" s="4">
        <v>134</v>
      </c>
      <c r="F63" s="3">
        <v>0.79</v>
      </c>
      <c r="G63" s="101" t="s">
        <v>359</v>
      </c>
      <c r="H63" s="107">
        <v>14</v>
      </c>
      <c r="I63" s="129">
        <v>100</v>
      </c>
      <c r="J63" s="107" t="s">
        <v>160</v>
      </c>
      <c r="K63" s="127">
        <v>30</v>
      </c>
      <c r="L63" s="96"/>
      <c r="M63" s="118"/>
      <c r="N63" s="118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pans="1:48" x14ac:dyDescent="0.25">
      <c r="A64" s="111">
        <v>60</v>
      </c>
      <c r="B64" s="3" t="s">
        <v>315</v>
      </c>
      <c r="C64" s="104" t="s">
        <v>180</v>
      </c>
      <c r="D64" s="28">
        <v>100</v>
      </c>
      <c r="E64" s="3">
        <v>75</v>
      </c>
      <c r="F64" s="3">
        <v>0.75</v>
      </c>
      <c r="G64" s="112">
        <v>43423</v>
      </c>
      <c r="H64" s="109">
        <v>8</v>
      </c>
      <c r="I64" s="129">
        <v>24</v>
      </c>
      <c r="J64" s="109" t="s">
        <v>347</v>
      </c>
      <c r="K64" s="127">
        <v>30</v>
      </c>
      <c r="L64" s="96"/>
      <c r="M64" s="118"/>
      <c r="N64" s="118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 x14ac:dyDescent="0.25">
      <c r="A65" s="111">
        <v>61</v>
      </c>
      <c r="B65" s="2" t="s">
        <v>327</v>
      </c>
      <c r="C65" s="104" t="s">
        <v>180</v>
      </c>
      <c r="D65" s="33">
        <v>420</v>
      </c>
      <c r="E65" s="2">
        <v>262</v>
      </c>
      <c r="F65" s="2">
        <v>0.62</v>
      </c>
      <c r="G65" s="112">
        <v>43421</v>
      </c>
      <c r="H65" s="109">
        <v>6</v>
      </c>
      <c r="I65" s="129">
        <v>204</v>
      </c>
      <c r="J65" s="109" t="s">
        <v>161</v>
      </c>
      <c r="K65" s="127">
        <v>0</v>
      </c>
      <c r="L65" s="96"/>
      <c r="M65" s="118"/>
      <c r="N65" s="11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pans="1:48" x14ac:dyDescent="0.25">
      <c r="A66" s="111">
        <v>62</v>
      </c>
      <c r="B66" s="2" t="s">
        <v>320</v>
      </c>
      <c r="C66" s="104" t="s">
        <v>180</v>
      </c>
      <c r="D66" s="33">
        <v>40</v>
      </c>
      <c r="E66" s="2">
        <v>116</v>
      </c>
      <c r="F66" s="2">
        <v>2.9</v>
      </c>
      <c r="G66" s="112">
        <v>43419</v>
      </c>
      <c r="H66" s="109">
        <v>3</v>
      </c>
      <c r="I66" s="129">
        <v>2</v>
      </c>
      <c r="J66" s="109" t="s">
        <v>351</v>
      </c>
      <c r="K66" s="127">
        <v>0</v>
      </c>
      <c r="L66" s="96"/>
      <c r="M66" s="118"/>
      <c r="N66" s="118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1:48" x14ac:dyDescent="0.25">
      <c r="A67" s="111">
        <v>63</v>
      </c>
      <c r="B67" s="27" t="s">
        <v>312</v>
      </c>
      <c r="C67" s="99" t="s">
        <v>180</v>
      </c>
      <c r="D67" s="34">
        <v>132</v>
      </c>
      <c r="E67" s="98">
        <v>124</v>
      </c>
      <c r="F67" s="27">
        <v>0.94</v>
      </c>
      <c r="G67" s="113" t="s">
        <v>196</v>
      </c>
      <c r="H67" s="107">
        <v>0</v>
      </c>
      <c r="I67" s="129">
        <v>160</v>
      </c>
      <c r="J67" s="107">
        <v>0</v>
      </c>
      <c r="K67" s="127">
        <v>0</v>
      </c>
      <c r="L67" s="96"/>
      <c r="M67" s="118"/>
      <c r="N67" s="118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1:48" x14ac:dyDescent="0.25">
      <c r="A68" s="111">
        <v>64</v>
      </c>
      <c r="B68" s="2" t="s">
        <v>322</v>
      </c>
      <c r="C68" s="99" t="s">
        <v>180</v>
      </c>
      <c r="D68" s="33">
        <v>559</v>
      </c>
      <c r="E68" s="2">
        <v>395</v>
      </c>
      <c r="F68" s="2">
        <v>0.71</v>
      </c>
      <c r="G68" s="113" t="s">
        <v>196</v>
      </c>
      <c r="H68" s="109">
        <v>0</v>
      </c>
      <c r="I68" s="129">
        <v>200</v>
      </c>
      <c r="J68" s="109">
        <v>0</v>
      </c>
      <c r="K68" s="127">
        <v>0</v>
      </c>
      <c r="L68" s="96"/>
      <c r="M68" s="118"/>
      <c r="N68" s="118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1:48" x14ac:dyDescent="0.25">
      <c r="A69" s="111">
        <v>65</v>
      </c>
      <c r="B69" s="3" t="s">
        <v>310</v>
      </c>
      <c r="C69" s="99" t="s">
        <v>180</v>
      </c>
      <c r="D69" s="34">
        <v>244</v>
      </c>
      <c r="E69" s="4">
        <v>108</v>
      </c>
      <c r="F69" s="3">
        <v>0.44</v>
      </c>
      <c r="G69" s="113" t="s">
        <v>196</v>
      </c>
      <c r="H69" s="109">
        <v>0</v>
      </c>
      <c r="I69" s="129">
        <v>102</v>
      </c>
      <c r="J69" s="109">
        <v>0</v>
      </c>
      <c r="K69" s="127">
        <v>0</v>
      </c>
      <c r="L69" s="96"/>
      <c r="M69" s="118"/>
      <c r="N69" s="118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1:48" x14ac:dyDescent="0.25">
      <c r="A70" s="111">
        <v>66</v>
      </c>
      <c r="B70" s="2" t="s">
        <v>319</v>
      </c>
      <c r="C70" s="99" t="s">
        <v>180</v>
      </c>
      <c r="D70" s="33">
        <v>63</v>
      </c>
      <c r="E70" s="2">
        <v>111</v>
      </c>
      <c r="F70" s="2">
        <v>1.76</v>
      </c>
      <c r="G70" s="113" t="s">
        <v>196</v>
      </c>
      <c r="H70" s="109">
        <v>0</v>
      </c>
      <c r="I70" s="129">
        <v>24</v>
      </c>
      <c r="J70" s="109">
        <v>0</v>
      </c>
      <c r="K70" s="127">
        <v>0</v>
      </c>
      <c r="L70" s="96"/>
      <c r="M70" s="118"/>
      <c r="N70" s="118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 x14ac:dyDescent="0.25">
      <c r="A71" s="111">
        <v>67</v>
      </c>
      <c r="B71" s="2" t="s">
        <v>321</v>
      </c>
      <c r="C71" s="99" t="s">
        <v>180</v>
      </c>
      <c r="D71" s="33">
        <v>10</v>
      </c>
      <c r="E71" s="2">
        <v>171</v>
      </c>
      <c r="F71" s="2">
        <v>17.100000000000001</v>
      </c>
      <c r="G71" s="113" t="s">
        <v>196</v>
      </c>
      <c r="H71" s="109">
        <v>0</v>
      </c>
      <c r="I71" s="129">
        <v>4</v>
      </c>
      <c r="J71" s="109">
        <v>0</v>
      </c>
      <c r="K71" s="127">
        <v>0</v>
      </c>
      <c r="L71" s="96"/>
      <c r="M71" s="118"/>
      <c r="N71" s="118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1:48" x14ac:dyDescent="0.25">
      <c r="A72" s="111"/>
      <c r="B72" s="119" t="s">
        <v>363</v>
      </c>
      <c r="C72" s="119"/>
      <c r="D72" s="119"/>
      <c r="E72" s="119"/>
      <c r="F72" s="119"/>
      <c r="G72" s="119"/>
      <c r="H72" s="119"/>
      <c r="I72" s="119"/>
      <c r="J72" s="119"/>
      <c r="K72" s="128">
        <v>250</v>
      </c>
      <c r="L72" s="9"/>
      <c r="M72" s="118"/>
      <c r="N72" s="118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s="7" customFormat="1" ht="16.5" customHeight="1" x14ac:dyDescent="0.25">
      <c r="A73" s="111">
        <v>68</v>
      </c>
      <c r="B73" s="3" t="s">
        <v>7</v>
      </c>
      <c r="C73" s="17">
        <v>80</v>
      </c>
      <c r="D73" s="28">
        <v>850</v>
      </c>
      <c r="E73" s="3">
        <v>706</v>
      </c>
      <c r="F73" s="3">
        <v>0.83</v>
      </c>
      <c r="G73" s="8" t="s">
        <v>105</v>
      </c>
      <c r="H73" s="27">
        <v>78</v>
      </c>
      <c r="I73" s="28">
        <v>400</v>
      </c>
      <c r="J73" s="87">
        <v>1.3888888888888889E-3</v>
      </c>
      <c r="K73" s="43">
        <f>600</f>
        <v>600</v>
      </c>
      <c r="L73" s="5"/>
      <c r="M73" s="118">
        <v>80</v>
      </c>
      <c r="N73" s="120">
        <f>SUM(K73:K84)</f>
        <v>2100</v>
      </c>
    </row>
    <row r="74" spans="1:48" s="7" customFormat="1" ht="16.5" customHeight="1" x14ac:dyDescent="0.25">
      <c r="A74" s="111">
        <v>69</v>
      </c>
      <c r="B74" s="3" t="s">
        <v>39</v>
      </c>
      <c r="C74" s="17">
        <v>80</v>
      </c>
      <c r="D74" s="28">
        <v>217</v>
      </c>
      <c r="E74" s="3">
        <v>326</v>
      </c>
      <c r="F74" s="3">
        <v>1.5</v>
      </c>
      <c r="G74" s="8" t="s">
        <v>219</v>
      </c>
      <c r="H74" s="27">
        <v>56</v>
      </c>
      <c r="I74" s="28">
        <v>210</v>
      </c>
      <c r="J74" s="38" t="s">
        <v>237</v>
      </c>
      <c r="K74" s="43">
        <v>100</v>
      </c>
      <c r="L74" s="5"/>
      <c r="M74" s="118"/>
      <c r="N74" s="120"/>
    </row>
    <row r="75" spans="1:48" s="7" customFormat="1" ht="16.5" customHeight="1" x14ac:dyDescent="0.25">
      <c r="A75" s="111">
        <v>70</v>
      </c>
      <c r="B75" s="3" t="s">
        <v>28</v>
      </c>
      <c r="C75" s="17">
        <v>80</v>
      </c>
      <c r="D75" s="28">
        <v>410</v>
      </c>
      <c r="E75" s="3">
        <v>526</v>
      </c>
      <c r="F75" s="3">
        <v>1.28</v>
      </c>
      <c r="G75" s="8" t="s">
        <v>220</v>
      </c>
      <c r="H75" s="27">
        <v>44</v>
      </c>
      <c r="I75" s="28">
        <v>230</v>
      </c>
      <c r="J75" s="38" t="s">
        <v>141</v>
      </c>
      <c r="K75" s="43">
        <f>200</f>
        <v>200</v>
      </c>
      <c r="L75" s="5"/>
      <c r="M75" s="118"/>
      <c r="N75" s="120"/>
    </row>
    <row r="76" spans="1:48" s="7" customFormat="1" ht="16.5" customHeight="1" x14ac:dyDescent="0.25">
      <c r="A76" s="111">
        <v>71</v>
      </c>
      <c r="B76" s="3" t="s">
        <v>77</v>
      </c>
      <c r="C76" s="17">
        <v>80</v>
      </c>
      <c r="D76" s="28">
        <v>160</v>
      </c>
      <c r="E76" s="3">
        <v>121</v>
      </c>
      <c r="F76" s="3">
        <v>0.76</v>
      </c>
      <c r="G76" s="8" t="s">
        <v>219</v>
      </c>
      <c r="H76" s="27">
        <v>41</v>
      </c>
      <c r="I76" s="28">
        <v>50</v>
      </c>
      <c r="J76" s="38">
        <f>H76/I76</f>
        <v>0.82</v>
      </c>
      <c r="K76" s="43">
        <f>100</f>
        <v>100</v>
      </c>
      <c r="L76" s="5"/>
      <c r="M76" s="118"/>
      <c r="N76" s="120"/>
    </row>
    <row r="77" spans="1:48" s="7" customFormat="1" ht="16.5" customHeight="1" x14ac:dyDescent="0.25">
      <c r="A77" s="111">
        <v>72</v>
      </c>
      <c r="B77" s="3" t="s">
        <v>75</v>
      </c>
      <c r="C77" s="17">
        <v>80</v>
      </c>
      <c r="D77" s="28">
        <v>371</v>
      </c>
      <c r="E77" s="3">
        <v>595</v>
      </c>
      <c r="F77" s="3">
        <v>1.6</v>
      </c>
      <c r="G77" s="8" t="s">
        <v>219</v>
      </c>
      <c r="H77" s="27">
        <v>48</v>
      </c>
      <c r="I77" s="28">
        <v>200</v>
      </c>
      <c r="J77" s="38">
        <f>H77/I77</f>
        <v>0.24</v>
      </c>
      <c r="K77" s="43">
        <f>200</f>
        <v>200</v>
      </c>
      <c r="L77" s="5"/>
      <c r="M77" s="118"/>
      <c r="N77" s="120"/>
    </row>
    <row r="78" spans="1:48" s="7" customFormat="1" ht="16.5" customHeight="1" x14ac:dyDescent="0.25">
      <c r="A78" s="111">
        <v>73</v>
      </c>
      <c r="B78" s="3" t="s">
        <v>18</v>
      </c>
      <c r="C78" s="17">
        <v>80</v>
      </c>
      <c r="D78" s="28">
        <v>600</v>
      </c>
      <c r="E78" s="3">
        <v>440</v>
      </c>
      <c r="F78" s="3">
        <v>0.73</v>
      </c>
      <c r="G78" s="8" t="s">
        <v>221</v>
      </c>
      <c r="H78" s="27">
        <v>9</v>
      </c>
      <c r="I78" s="28">
        <v>200</v>
      </c>
      <c r="J78" s="38" t="s">
        <v>149</v>
      </c>
      <c r="K78" s="43">
        <f>200</f>
        <v>200</v>
      </c>
      <c r="L78" s="5"/>
      <c r="M78" s="118"/>
      <c r="N78" s="120"/>
    </row>
    <row r="79" spans="1:48" s="7" customFormat="1" ht="16.5" customHeight="1" x14ac:dyDescent="0.25">
      <c r="A79" s="111">
        <v>74</v>
      </c>
      <c r="B79" s="2" t="s">
        <v>78</v>
      </c>
      <c r="C79" s="17">
        <v>80</v>
      </c>
      <c r="D79" s="33">
        <v>100</v>
      </c>
      <c r="E79" s="2">
        <v>7</v>
      </c>
      <c r="F79" s="2">
        <v>7.0000000000000007E-2</v>
      </c>
      <c r="G79" s="9" t="s">
        <v>105</v>
      </c>
      <c r="H79" s="27">
        <v>9</v>
      </c>
      <c r="I79" s="28">
        <v>2</v>
      </c>
      <c r="J79" s="38">
        <v>4.5</v>
      </c>
      <c r="K79" s="43">
        <f>100</f>
        <v>100</v>
      </c>
      <c r="L79" s="9"/>
      <c r="M79" s="118"/>
      <c r="N79" s="120"/>
    </row>
    <row r="80" spans="1:48" s="7" customFormat="1" ht="16.5" customHeight="1" x14ac:dyDescent="0.25">
      <c r="A80" s="111">
        <v>75</v>
      </c>
      <c r="B80" s="3" t="s">
        <v>76</v>
      </c>
      <c r="C80" s="17">
        <v>80</v>
      </c>
      <c r="D80" s="28">
        <v>540</v>
      </c>
      <c r="E80" s="3">
        <v>247</v>
      </c>
      <c r="F80" s="3">
        <v>0.46</v>
      </c>
      <c r="G80" s="8" t="s">
        <v>222</v>
      </c>
      <c r="H80" s="27">
        <v>8</v>
      </c>
      <c r="I80" s="28">
        <v>100</v>
      </c>
      <c r="J80" s="38" t="s">
        <v>151</v>
      </c>
      <c r="K80" s="43">
        <v>300</v>
      </c>
      <c r="L80" s="5"/>
      <c r="M80" s="118"/>
      <c r="N80" s="120"/>
    </row>
    <row r="81" spans="1:14" s="7" customFormat="1" ht="16.5" customHeight="1" x14ac:dyDescent="0.25">
      <c r="A81" s="111">
        <v>76</v>
      </c>
      <c r="B81" s="3" t="s">
        <v>23</v>
      </c>
      <c r="C81" s="17">
        <v>80</v>
      </c>
      <c r="D81" s="28">
        <v>420</v>
      </c>
      <c r="E81" s="3">
        <v>195</v>
      </c>
      <c r="F81" s="3">
        <v>0.46</v>
      </c>
      <c r="G81" s="8" t="s">
        <v>223</v>
      </c>
      <c r="H81" s="27">
        <v>10</v>
      </c>
      <c r="I81" s="28">
        <v>145</v>
      </c>
      <c r="J81" s="38" t="s">
        <v>143</v>
      </c>
      <c r="K81" s="43">
        <f>300</f>
        <v>300</v>
      </c>
      <c r="L81" s="23" t="s">
        <v>195</v>
      </c>
      <c r="M81" s="118"/>
      <c r="N81" s="120"/>
    </row>
    <row r="82" spans="1:14" s="7" customFormat="1" ht="17.25" customHeight="1" x14ac:dyDescent="0.25">
      <c r="A82" s="111">
        <v>77</v>
      </c>
      <c r="B82" s="3" t="s">
        <v>54</v>
      </c>
      <c r="C82" s="17">
        <v>80</v>
      </c>
      <c r="D82" s="28">
        <v>160</v>
      </c>
      <c r="E82" s="3">
        <v>221</v>
      </c>
      <c r="F82" s="3">
        <v>1.38</v>
      </c>
      <c r="G82" s="8" t="s">
        <v>107</v>
      </c>
      <c r="H82" s="27">
        <v>2</v>
      </c>
      <c r="I82" s="28">
        <v>200</v>
      </c>
      <c r="J82" s="38">
        <f>H82/I82</f>
        <v>0.01</v>
      </c>
      <c r="K82" s="43"/>
      <c r="L82" s="5"/>
      <c r="M82" s="118"/>
      <c r="N82" s="120"/>
    </row>
    <row r="83" spans="1:14" s="7" customFormat="1" ht="17.25" customHeight="1" x14ac:dyDescent="0.25">
      <c r="A83" s="111">
        <v>78</v>
      </c>
      <c r="B83" s="3" t="s">
        <v>64</v>
      </c>
      <c r="C83" s="2">
        <v>80</v>
      </c>
      <c r="D83" s="28">
        <v>100</v>
      </c>
      <c r="E83" s="3">
        <v>169</v>
      </c>
      <c r="F83" s="3">
        <v>1.69</v>
      </c>
      <c r="G83" s="8" t="s">
        <v>196</v>
      </c>
      <c r="H83" s="27">
        <v>0</v>
      </c>
      <c r="I83" s="28">
        <v>50</v>
      </c>
      <c r="J83" s="38">
        <v>0</v>
      </c>
      <c r="K83" s="43"/>
      <c r="L83" s="22" t="s">
        <v>197</v>
      </c>
      <c r="M83" s="118"/>
      <c r="N83" s="120"/>
    </row>
    <row r="84" spans="1:14" s="7" customFormat="1" ht="18" customHeight="1" x14ac:dyDescent="0.25">
      <c r="A84" s="111">
        <v>79</v>
      </c>
      <c r="B84" s="81" t="s">
        <v>14</v>
      </c>
      <c r="C84" s="2">
        <v>80</v>
      </c>
      <c r="D84" s="33">
        <v>976</v>
      </c>
      <c r="E84" s="2">
        <v>537</v>
      </c>
      <c r="F84" s="2">
        <v>0.55000000000000004</v>
      </c>
      <c r="G84" s="8" t="s">
        <v>196</v>
      </c>
      <c r="H84" s="27">
        <v>0</v>
      </c>
      <c r="I84" s="28">
        <v>100</v>
      </c>
      <c r="J84" s="38">
        <v>0</v>
      </c>
      <c r="K84" s="43"/>
      <c r="L84" s="22" t="s">
        <v>198</v>
      </c>
      <c r="M84" s="118"/>
      <c r="N84" s="120"/>
    </row>
    <row r="85" spans="1:14" s="7" customFormat="1" ht="17.25" customHeight="1" x14ac:dyDescent="0.25">
      <c r="A85" s="111">
        <v>80</v>
      </c>
      <c r="B85" s="3" t="s">
        <v>21</v>
      </c>
      <c r="C85" s="17">
        <v>100</v>
      </c>
      <c r="D85" s="28">
        <v>435</v>
      </c>
      <c r="E85" s="3">
        <v>759</v>
      </c>
      <c r="F85" s="3">
        <v>1.74</v>
      </c>
      <c r="G85" s="8" t="s">
        <v>219</v>
      </c>
      <c r="H85" s="27">
        <v>136</v>
      </c>
      <c r="I85" s="28">
        <v>220</v>
      </c>
      <c r="J85" s="38" t="s">
        <v>238</v>
      </c>
      <c r="K85" s="43">
        <f>300</f>
        <v>300</v>
      </c>
      <c r="L85" s="5"/>
      <c r="M85" s="116">
        <v>100</v>
      </c>
      <c r="N85" s="117">
        <f>SUM(K85:K123)</f>
        <v>2500</v>
      </c>
    </row>
    <row r="86" spans="1:14" s="7" customFormat="1" ht="18" customHeight="1" x14ac:dyDescent="0.25">
      <c r="A86" s="111">
        <v>81</v>
      </c>
      <c r="B86" s="3" t="s">
        <v>19</v>
      </c>
      <c r="C86" s="17">
        <v>100</v>
      </c>
      <c r="D86" s="28">
        <v>574</v>
      </c>
      <c r="E86" s="3">
        <v>656</v>
      </c>
      <c r="F86" s="3">
        <v>1.1399999999999999</v>
      </c>
      <c r="G86" s="8" t="s">
        <v>221</v>
      </c>
      <c r="H86" s="27">
        <v>74</v>
      </c>
      <c r="I86" s="28">
        <v>250</v>
      </c>
      <c r="J86" s="38" t="s">
        <v>239</v>
      </c>
      <c r="K86" s="43">
        <v>100</v>
      </c>
      <c r="L86" s="5"/>
      <c r="M86" s="116"/>
      <c r="N86" s="117"/>
    </row>
    <row r="87" spans="1:14" s="7" customFormat="1" ht="18" customHeight="1" x14ac:dyDescent="0.25">
      <c r="A87" s="111">
        <v>82</v>
      </c>
      <c r="B87" s="3" t="s">
        <v>4</v>
      </c>
      <c r="C87" s="17">
        <v>100</v>
      </c>
      <c r="D87" s="34">
        <v>1240</v>
      </c>
      <c r="E87" s="3">
        <v>642</v>
      </c>
      <c r="F87" s="3">
        <v>0.52</v>
      </c>
      <c r="G87" s="8" t="s">
        <v>224</v>
      </c>
      <c r="H87" s="27">
        <v>69</v>
      </c>
      <c r="I87" s="28">
        <v>500</v>
      </c>
      <c r="J87" s="38" t="s">
        <v>160</v>
      </c>
      <c r="K87" s="43">
        <v>300</v>
      </c>
      <c r="L87" s="5"/>
      <c r="M87" s="116"/>
      <c r="N87" s="117"/>
    </row>
    <row r="88" spans="1:14" s="7" customFormat="1" ht="17.25" customHeight="1" x14ac:dyDescent="0.25">
      <c r="A88" s="111">
        <v>83</v>
      </c>
      <c r="B88" s="3" t="s">
        <v>12</v>
      </c>
      <c r="C88" s="17">
        <v>100</v>
      </c>
      <c r="D88" s="28">
        <v>770</v>
      </c>
      <c r="E88" s="3">
        <v>499</v>
      </c>
      <c r="F88" s="3">
        <v>0.65</v>
      </c>
      <c r="G88" s="8" t="s">
        <v>111</v>
      </c>
      <c r="H88" s="27">
        <v>26</v>
      </c>
      <c r="I88" s="28">
        <v>400</v>
      </c>
      <c r="J88" s="38" t="s">
        <v>143</v>
      </c>
      <c r="K88" s="43">
        <v>100</v>
      </c>
      <c r="L88" s="5"/>
      <c r="M88" s="116"/>
      <c r="N88" s="117"/>
    </row>
    <row r="89" spans="1:14" s="7" customFormat="1" ht="17.25" customHeight="1" x14ac:dyDescent="0.25">
      <c r="A89" s="111">
        <v>84</v>
      </c>
      <c r="B89" s="2" t="s">
        <v>98</v>
      </c>
      <c r="C89" s="17">
        <v>100</v>
      </c>
      <c r="D89" s="33">
        <v>90</v>
      </c>
      <c r="E89" s="2">
        <v>21</v>
      </c>
      <c r="F89" s="2">
        <v>0.23</v>
      </c>
      <c r="G89" s="9" t="s">
        <v>117</v>
      </c>
      <c r="H89" s="27">
        <v>23</v>
      </c>
      <c r="I89" s="28">
        <v>80</v>
      </c>
      <c r="J89" s="38" t="s">
        <v>158</v>
      </c>
      <c r="K89" s="43">
        <f>100</f>
        <v>100</v>
      </c>
      <c r="L89" s="5"/>
      <c r="M89" s="116"/>
      <c r="N89" s="117"/>
    </row>
    <row r="90" spans="1:14" s="7" customFormat="1" ht="15.75" customHeight="1" x14ac:dyDescent="0.25">
      <c r="A90" s="111">
        <v>85</v>
      </c>
      <c r="B90" s="3" t="s">
        <v>60</v>
      </c>
      <c r="C90" s="17">
        <v>100</v>
      </c>
      <c r="D90" s="28">
        <v>120</v>
      </c>
      <c r="E90" s="3">
        <v>76</v>
      </c>
      <c r="F90" s="3">
        <v>0.63</v>
      </c>
      <c r="G90" s="8" t="s">
        <v>109</v>
      </c>
      <c r="H90" s="27">
        <v>19</v>
      </c>
      <c r="I90" s="28">
        <v>20</v>
      </c>
      <c r="J90" s="38" t="s">
        <v>154</v>
      </c>
      <c r="K90" s="43">
        <f>D90-I90</f>
        <v>100</v>
      </c>
      <c r="L90" s="23"/>
      <c r="M90" s="116"/>
      <c r="N90" s="117"/>
    </row>
    <row r="91" spans="1:14" x14ac:dyDescent="0.25">
      <c r="A91" s="111">
        <v>86</v>
      </c>
      <c r="B91" s="3" t="s">
        <v>42</v>
      </c>
      <c r="C91" s="17">
        <v>100</v>
      </c>
      <c r="D91" s="34">
        <v>202</v>
      </c>
      <c r="E91" s="3">
        <v>114</v>
      </c>
      <c r="F91" s="3">
        <v>0.56000000000000005</v>
      </c>
      <c r="G91" s="8" t="s">
        <v>225</v>
      </c>
      <c r="H91" s="27">
        <v>16</v>
      </c>
      <c r="I91" s="28">
        <v>100</v>
      </c>
      <c r="J91" s="38" t="s">
        <v>152</v>
      </c>
      <c r="K91" s="43">
        <f>100</f>
        <v>100</v>
      </c>
      <c r="L91" s="9"/>
      <c r="M91" s="116"/>
      <c r="N91" s="117"/>
    </row>
    <row r="92" spans="1:14" x14ac:dyDescent="0.25">
      <c r="A92" s="111">
        <v>87</v>
      </c>
      <c r="B92" s="3" t="s">
        <v>63</v>
      </c>
      <c r="C92" s="17">
        <v>100</v>
      </c>
      <c r="D92" s="28">
        <v>102</v>
      </c>
      <c r="E92" s="3">
        <v>2</v>
      </c>
      <c r="F92" s="3">
        <v>0.02</v>
      </c>
      <c r="G92" s="8" t="s">
        <v>219</v>
      </c>
      <c r="H92" s="27">
        <v>12</v>
      </c>
      <c r="I92" s="28">
        <v>105</v>
      </c>
      <c r="J92" s="38" t="s">
        <v>155</v>
      </c>
      <c r="K92" s="43">
        <v>75</v>
      </c>
      <c r="L92" s="9"/>
      <c r="M92" s="116"/>
      <c r="N92" s="117"/>
    </row>
    <row r="93" spans="1:14" x14ac:dyDescent="0.25">
      <c r="A93" s="111">
        <v>88</v>
      </c>
      <c r="B93" s="2" t="s">
        <v>66</v>
      </c>
      <c r="C93" s="17">
        <v>100</v>
      </c>
      <c r="D93" s="33">
        <v>100</v>
      </c>
      <c r="E93" s="2">
        <v>103</v>
      </c>
      <c r="F93" s="2">
        <v>1.03</v>
      </c>
      <c r="G93" s="9" t="s">
        <v>226</v>
      </c>
      <c r="H93" s="27">
        <v>13</v>
      </c>
      <c r="I93" s="28">
        <v>50</v>
      </c>
      <c r="J93" s="38" t="s">
        <v>156</v>
      </c>
      <c r="K93" s="43">
        <v>75</v>
      </c>
      <c r="L93" s="9"/>
      <c r="M93" s="116"/>
      <c r="N93" s="117"/>
    </row>
    <row r="94" spans="1:14" x14ac:dyDescent="0.25">
      <c r="A94" s="111">
        <v>89</v>
      </c>
      <c r="B94" s="3" t="s">
        <v>15</v>
      </c>
      <c r="C94" s="17">
        <v>100</v>
      </c>
      <c r="D94" s="28">
        <v>600</v>
      </c>
      <c r="E94" s="3">
        <v>298</v>
      </c>
      <c r="F94" s="3">
        <v>0.5</v>
      </c>
      <c r="G94" s="8" t="s">
        <v>109</v>
      </c>
      <c r="H94" s="27">
        <v>12</v>
      </c>
      <c r="I94" s="28">
        <v>100</v>
      </c>
      <c r="J94" s="38" t="s">
        <v>146</v>
      </c>
      <c r="K94" s="43">
        <v>100</v>
      </c>
      <c r="L94" s="9"/>
      <c r="M94" s="116"/>
      <c r="N94" s="117"/>
    </row>
    <row r="95" spans="1:14" x14ac:dyDescent="0.25">
      <c r="A95" s="111">
        <v>90</v>
      </c>
      <c r="B95" s="3" t="s">
        <v>24</v>
      </c>
      <c r="C95" s="17">
        <v>100</v>
      </c>
      <c r="D95" s="28">
        <v>400</v>
      </c>
      <c r="E95" s="3">
        <v>276</v>
      </c>
      <c r="F95" s="3">
        <v>0.69</v>
      </c>
      <c r="G95" s="8" t="s">
        <v>111</v>
      </c>
      <c r="H95" s="27">
        <v>12</v>
      </c>
      <c r="I95" s="28">
        <v>200</v>
      </c>
      <c r="J95" s="38" t="s">
        <v>150</v>
      </c>
      <c r="K95" s="43">
        <v>100</v>
      </c>
      <c r="L95" s="9"/>
      <c r="M95" s="116"/>
      <c r="N95" s="117"/>
    </row>
    <row r="96" spans="1:14" x14ac:dyDescent="0.25">
      <c r="A96" s="111">
        <v>91</v>
      </c>
      <c r="B96" s="3" t="s">
        <v>41</v>
      </c>
      <c r="C96" s="17">
        <v>100</v>
      </c>
      <c r="D96" s="34">
        <v>207</v>
      </c>
      <c r="E96" s="3">
        <v>242</v>
      </c>
      <c r="F96" s="3">
        <v>1.17</v>
      </c>
      <c r="G96" s="8" t="s">
        <v>219</v>
      </c>
      <c r="H96" s="27">
        <v>8</v>
      </c>
      <c r="I96" s="28">
        <v>102</v>
      </c>
      <c r="J96" s="38" t="s">
        <v>151</v>
      </c>
      <c r="K96" s="43">
        <f>100</f>
        <v>100</v>
      </c>
      <c r="L96" s="9"/>
      <c r="M96" s="116"/>
      <c r="N96" s="117"/>
    </row>
    <row r="97" spans="1:14" x14ac:dyDescent="0.25">
      <c r="A97" s="111">
        <v>92</v>
      </c>
      <c r="B97" s="2" t="s">
        <v>94</v>
      </c>
      <c r="C97" s="17">
        <v>100</v>
      </c>
      <c r="D97" s="33">
        <v>64</v>
      </c>
      <c r="E97" s="2">
        <v>59</v>
      </c>
      <c r="F97" s="2">
        <v>0.92</v>
      </c>
      <c r="G97" s="9" t="s">
        <v>110</v>
      </c>
      <c r="H97" s="27">
        <v>13</v>
      </c>
      <c r="I97" s="28">
        <v>50</v>
      </c>
      <c r="J97" s="38" t="s">
        <v>156</v>
      </c>
      <c r="K97" s="43">
        <v>60</v>
      </c>
      <c r="L97" s="9"/>
      <c r="M97" s="116"/>
      <c r="N97" s="117"/>
    </row>
    <row r="98" spans="1:14" x14ac:dyDescent="0.25">
      <c r="A98" s="111">
        <v>93</v>
      </c>
      <c r="B98" s="2" t="s">
        <v>97</v>
      </c>
      <c r="C98" s="17">
        <v>100</v>
      </c>
      <c r="D98" s="33">
        <v>50</v>
      </c>
      <c r="E98" s="2">
        <v>39</v>
      </c>
      <c r="F98" s="2">
        <v>0.78</v>
      </c>
      <c r="G98" s="9" t="s">
        <v>108</v>
      </c>
      <c r="H98" s="27">
        <v>11</v>
      </c>
      <c r="I98" s="28">
        <v>30</v>
      </c>
      <c r="J98" s="38" t="s">
        <v>157</v>
      </c>
      <c r="K98" s="43">
        <v>40</v>
      </c>
      <c r="L98" s="9"/>
      <c r="M98" s="116"/>
      <c r="N98" s="117"/>
    </row>
    <row r="99" spans="1:14" x14ac:dyDescent="0.25">
      <c r="A99" s="111">
        <v>94</v>
      </c>
      <c r="B99" s="2" t="s">
        <v>218</v>
      </c>
      <c r="C99" s="17">
        <v>100</v>
      </c>
      <c r="D99" s="33"/>
      <c r="E99" s="2"/>
      <c r="F99" s="2"/>
      <c r="G99" s="9" t="s">
        <v>224</v>
      </c>
      <c r="H99" s="27">
        <v>17</v>
      </c>
      <c r="I99" s="28">
        <v>180</v>
      </c>
      <c r="J99" s="38">
        <v>0.09</v>
      </c>
      <c r="K99" s="43">
        <f>100</f>
        <v>100</v>
      </c>
      <c r="L99" s="9"/>
      <c r="M99" s="116"/>
      <c r="N99" s="117"/>
    </row>
    <row r="100" spans="1:14" x14ac:dyDescent="0.25">
      <c r="A100" s="111">
        <v>95</v>
      </c>
      <c r="B100" s="2" t="s">
        <v>91</v>
      </c>
      <c r="C100" s="17">
        <v>100</v>
      </c>
      <c r="D100" s="33">
        <v>84</v>
      </c>
      <c r="E100" s="2">
        <v>95</v>
      </c>
      <c r="F100" s="2">
        <v>1.1299999999999999</v>
      </c>
      <c r="G100" s="9" t="s">
        <v>117</v>
      </c>
      <c r="H100" s="27">
        <v>7</v>
      </c>
      <c r="I100" s="28">
        <v>35</v>
      </c>
      <c r="J100" s="38" t="s">
        <v>140</v>
      </c>
      <c r="K100" s="43">
        <f>50</f>
        <v>50</v>
      </c>
      <c r="L100" s="9"/>
      <c r="M100" s="116"/>
      <c r="N100" s="117"/>
    </row>
    <row r="101" spans="1:14" x14ac:dyDescent="0.25">
      <c r="A101" s="111">
        <v>96</v>
      </c>
      <c r="B101" s="3" t="s">
        <v>30</v>
      </c>
      <c r="C101" s="17">
        <v>100</v>
      </c>
      <c r="D101" s="34">
        <v>300</v>
      </c>
      <c r="E101" s="3">
        <v>107</v>
      </c>
      <c r="F101" s="3">
        <v>0.36</v>
      </c>
      <c r="G101" s="8" t="s">
        <v>227</v>
      </c>
      <c r="H101" s="27">
        <v>6</v>
      </c>
      <c r="I101" s="28">
        <v>110</v>
      </c>
      <c r="J101" s="38" t="s">
        <v>149</v>
      </c>
      <c r="K101" s="43">
        <v>100</v>
      </c>
      <c r="L101" s="9"/>
      <c r="M101" s="116"/>
      <c r="N101" s="117"/>
    </row>
    <row r="102" spans="1:14" x14ac:dyDescent="0.25">
      <c r="A102" s="111">
        <v>97</v>
      </c>
      <c r="B102" s="2" t="s">
        <v>61</v>
      </c>
      <c r="C102" s="17">
        <v>100</v>
      </c>
      <c r="D102" s="33">
        <v>120</v>
      </c>
      <c r="E102" s="2">
        <v>38</v>
      </c>
      <c r="F102" s="2">
        <v>0.32</v>
      </c>
      <c r="G102" s="9" t="s">
        <v>111</v>
      </c>
      <c r="H102" s="27">
        <v>5</v>
      </c>
      <c r="I102" s="28">
        <v>50</v>
      </c>
      <c r="J102" s="38" t="s">
        <v>145</v>
      </c>
      <c r="K102" s="43">
        <f>100</f>
        <v>100</v>
      </c>
      <c r="L102" s="23"/>
      <c r="M102" s="116"/>
      <c r="N102" s="117"/>
    </row>
    <row r="103" spans="1:14" x14ac:dyDescent="0.25">
      <c r="A103" s="111">
        <v>98</v>
      </c>
      <c r="B103" s="3" t="s">
        <v>20</v>
      </c>
      <c r="C103" s="17">
        <v>100</v>
      </c>
      <c r="D103" s="28">
        <v>660</v>
      </c>
      <c r="E103" s="3">
        <v>321</v>
      </c>
      <c r="F103" s="3">
        <v>0.49</v>
      </c>
      <c r="G103" s="8" t="s">
        <v>222</v>
      </c>
      <c r="H103" s="27">
        <v>9</v>
      </c>
      <c r="I103" s="28">
        <v>200</v>
      </c>
      <c r="J103" s="38" t="s">
        <v>149</v>
      </c>
      <c r="K103" s="43">
        <v>100</v>
      </c>
      <c r="L103" s="23"/>
      <c r="M103" s="116"/>
      <c r="N103" s="117"/>
    </row>
    <row r="104" spans="1:14" x14ac:dyDescent="0.25">
      <c r="A104" s="111">
        <v>99</v>
      </c>
      <c r="B104" s="3" t="s">
        <v>51</v>
      </c>
      <c r="C104" s="17">
        <v>100</v>
      </c>
      <c r="D104" s="28">
        <v>170</v>
      </c>
      <c r="E104" s="3">
        <v>15</v>
      </c>
      <c r="F104" s="3">
        <v>0.09</v>
      </c>
      <c r="G104" s="8" t="s">
        <v>109</v>
      </c>
      <c r="H104" s="27">
        <v>3</v>
      </c>
      <c r="I104" s="28">
        <v>4</v>
      </c>
      <c r="J104" s="38" t="s">
        <v>153</v>
      </c>
      <c r="K104" s="43">
        <f>100</f>
        <v>100</v>
      </c>
      <c r="L104" s="23"/>
      <c r="M104" s="116"/>
      <c r="N104" s="117"/>
    </row>
    <row r="105" spans="1:14" x14ac:dyDescent="0.25">
      <c r="A105" s="111">
        <v>100</v>
      </c>
      <c r="B105" s="2" t="s">
        <v>99</v>
      </c>
      <c r="C105" s="17">
        <v>100</v>
      </c>
      <c r="D105" s="33">
        <v>40</v>
      </c>
      <c r="E105" s="2">
        <v>1</v>
      </c>
      <c r="F105" s="2">
        <v>0.03</v>
      </c>
      <c r="G105" s="9" t="s">
        <v>228</v>
      </c>
      <c r="H105" s="27">
        <v>1</v>
      </c>
      <c r="I105" s="28">
        <v>20</v>
      </c>
      <c r="J105" s="38" t="s">
        <v>149</v>
      </c>
      <c r="K105" s="43">
        <f>50</f>
        <v>50</v>
      </c>
      <c r="L105" s="23"/>
      <c r="M105" s="116"/>
      <c r="N105" s="117"/>
    </row>
    <row r="106" spans="1:14" x14ac:dyDescent="0.25">
      <c r="A106" s="111">
        <v>101</v>
      </c>
      <c r="B106" s="2" t="s">
        <v>65</v>
      </c>
      <c r="C106" s="17">
        <v>100</v>
      </c>
      <c r="D106" s="33">
        <v>100</v>
      </c>
      <c r="E106" s="2">
        <v>50</v>
      </c>
      <c r="F106" s="2">
        <v>0.5</v>
      </c>
      <c r="G106" s="9" t="s">
        <v>229</v>
      </c>
      <c r="H106" s="27">
        <v>1</v>
      </c>
      <c r="I106" s="28">
        <v>0</v>
      </c>
      <c r="J106" s="38">
        <v>0</v>
      </c>
      <c r="K106" s="43">
        <f>50</f>
        <v>50</v>
      </c>
      <c r="L106" s="23"/>
      <c r="M106" s="116"/>
      <c r="N106" s="117"/>
    </row>
    <row r="107" spans="1:14" x14ac:dyDescent="0.25">
      <c r="A107" s="111">
        <v>102</v>
      </c>
      <c r="B107" s="3" t="s">
        <v>6</v>
      </c>
      <c r="C107" s="17">
        <v>100</v>
      </c>
      <c r="D107" s="34">
        <v>1080</v>
      </c>
      <c r="E107" s="3">
        <v>790</v>
      </c>
      <c r="F107" s="3">
        <v>0.73</v>
      </c>
      <c r="G107" s="8" t="s">
        <v>230</v>
      </c>
      <c r="H107" s="27">
        <v>1</v>
      </c>
      <c r="I107" s="28">
        <v>200</v>
      </c>
      <c r="J107" s="38" t="s">
        <v>144</v>
      </c>
      <c r="K107" s="43">
        <v>100</v>
      </c>
      <c r="L107" s="22"/>
      <c r="M107" s="116"/>
      <c r="N107" s="117"/>
    </row>
    <row r="108" spans="1:14" x14ac:dyDescent="0.25">
      <c r="A108" s="111">
        <v>103</v>
      </c>
      <c r="B108" s="3" t="s">
        <v>8</v>
      </c>
      <c r="C108" s="17">
        <v>100</v>
      </c>
      <c r="D108" s="34">
        <v>1050</v>
      </c>
      <c r="E108" s="3">
        <v>695</v>
      </c>
      <c r="F108" s="3">
        <v>0.66</v>
      </c>
      <c r="G108" s="8" t="s">
        <v>223</v>
      </c>
      <c r="H108" s="27">
        <v>34</v>
      </c>
      <c r="I108" s="28">
        <v>300</v>
      </c>
      <c r="J108" s="38" t="s">
        <v>155</v>
      </c>
      <c r="K108" s="43">
        <v>100</v>
      </c>
      <c r="L108" s="23"/>
      <c r="M108" s="116"/>
      <c r="N108" s="117"/>
    </row>
    <row r="109" spans="1:14" x14ac:dyDescent="0.25">
      <c r="A109" s="111">
        <v>104</v>
      </c>
      <c r="B109" s="3" t="s">
        <v>47</v>
      </c>
      <c r="C109" s="2">
        <v>100</v>
      </c>
      <c r="D109" s="34">
        <v>200</v>
      </c>
      <c r="E109" s="3">
        <v>126</v>
      </c>
      <c r="F109" s="3">
        <v>0.63</v>
      </c>
      <c r="G109" s="8" t="s">
        <v>112</v>
      </c>
      <c r="H109" s="27">
        <v>0</v>
      </c>
      <c r="I109" s="28">
        <v>50</v>
      </c>
      <c r="J109" s="38">
        <v>0</v>
      </c>
      <c r="K109" s="43"/>
      <c r="L109" s="23" t="s">
        <v>199</v>
      </c>
      <c r="M109" s="116"/>
      <c r="N109" s="117"/>
    </row>
    <row r="110" spans="1:14" x14ac:dyDescent="0.25">
      <c r="A110" s="111">
        <v>105</v>
      </c>
      <c r="B110" s="3" t="s">
        <v>62</v>
      </c>
      <c r="C110" s="2">
        <v>100</v>
      </c>
      <c r="D110" s="28">
        <v>114</v>
      </c>
      <c r="E110" s="3">
        <v>98</v>
      </c>
      <c r="F110" s="3">
        <v>0.86</v>
      </c>
      <c r="G110" s="8" t="s">
        <v>120</v>
      </c>
      <c r="H110" s="8"/>
      <c r="I110" s="29"/>
      <c r="J110" s="39"/>
      <c r="K110" s="43"/>
      <c r="L110" s="23" t="s">
        <v>200</v>
      </c>
      <c r="M110" s="116"/>
      <c r="N110" s="117"/>
    </row>
    <row r="111" spans="1:14" x14ac:dyDescent="0.25">
      <c r="A111" s="111">
        <v>106</v>
      </c>
      <c r="B111" s="2" t="s">
        <v>89</v>
      </c>
      <c r="C111" s="2">
        <v>100</v>
      </c>
      <c r="D111" s="33">
        <v>100</v>
      </c>
      <c r="E111" s="2">
        <v>15</v>
      </c>
      <c r="F111" s="2">
        <v>0.15</v>
      </c>
      <c r="G111" s="9" t="s">
        <v>122</v>
      </c>
      <c r="H111" s="9"/>
      <c r="I111" s="32"/>
      <c r="J111" s="42"/>
      <c r="K111" s="43"/>
      <c r="L111" s="23" t="s">
        <v>201</v>
      </c>
      <c r="M111" s="116"/>
      <c r="N111" s="117"/>
    </row>
    <row r="112" spans="1:14" x14ac:dyDescent="0.25">
      <c r="A112" s="111">
        <v>107</v>
      </c>
      <c r="B112" s="2" t="s">
        <v>90</v>
      </c>
      <c r="C112" s="2">
        <v>100</v>
      </c>
      <c r="D112" s="33">
        <v>100</v>
      </c>
      <c r="E112" s="2">
        <v>0</v>
      </c>
      <c r="F112" s="2">
        <v>0</v>
      </c>
      <c r="G112" s="9" t="s">
        <v>123</v>
      </c>
      <c r="H112" s="9"/>
      <c r="I112" s="32"/>
      <c r="J112" s="42"/>
      <c r="K112" s="43"/>
      <c r="L112" s="23" t="s">
        <v>202</v>
      </c>
      <c r="M112" s="116"/>
      <c r="N112" s="117"/>
    </row>
    <row r="113" spans="1:14" x14ac:dyDescent="0.25">
      <c r="A113" s="111">
        <v>108</v>
      </c>
      <c r="B113" s="2" t="s">
        <v>67</v>
      </c>
      <c r="C113" s="2">
        <v>100</v>
      </c>
      <c r="D113" s="33">
        <v>100</v>
      </c>
      <c r="E113" s="2">
        <v>0</v>
      </c>
      <c r="F113" s="2">
        <v>0</v>
      </c>
      <c r="G113" s="9" t="s">
        <v>124</v>
      </c>
      <c r="H113" s="9"/>
      <c r="I113" s="32"/>
      <c r="J113" s="42"/>
      <c r="K113" s="43"/>
      <c r="L113" s="9" t="s">
        <v>203</v>
      </c>
      <c r="M113" s="116"/>
      <c r="N113" s="117"/>
    </row>
    <row r="114" spans="1:14" x14ac:dyDescent="0.25">
      <c r="A114" s="111">
        <v>109</v>
      </c>
      <c r="B114" s="2" t="s">
        <v>69</v>
      </c>
      <c r="C114" s="2">
        <v>100</v>
      </c>
      <c r="D114" s="33">
        <v>70</v>
      </c>
      <c r="E114" s="2">
        <v>47</v>
      </c>
      <c r="F114" s="2">
        <v>0.67</v>
      </c>
      <c r="G114" s="9" t="s">
        <v>109</v>
      </c>
      <c r="H114" s="9"/>
      <c r="I114" s="32"/>
      <c r="J114" s="42"/>
      <c r="K114" s="43"/>
      <c r="L114" s="9" t="s">
        <v>204</v>
      </c>
      <c r="M114" s="116"/>
      <c r="N114" s="117"/>
    </row>
    <row r="115" spans="1:14" x14ac:dyDescent="0.25">
      <c r="A115" s="111">
        <v>110</v>
      </c>
      <c r="B115" s="2" t="s">
        <v>96</v>
      </c>
      <c r="C115" s="2">
        <v>100</v>
      </c>
      <c r="D115" s="33">
        <v>50</v>
      </c>
      <c r="E115" s="2">
        <v>34</v>
      </c>
      <c r="F115" s="2">
        <v>0.68</v>
      </c>
      <c r="G115" s="9" t="s">
        <v>109</v>
      </c>
      <c r="H115" s="9"/>
      <c r="I115" s="32"/>
      <c r="J115" s="42"/>
      <c r="K115" s="43"/>
      <c r="L115" s="9" t="s">
        <v>205</v>
      </c>
      <c r="M115" s="116"/>
      <c r="N115" s="117"/>
    </row>
    <row r="116" spans="1:14" x14ac:dyDescent="0.25">
      <c r="A116" s="111">
        <v>111</v>
      </c>
      <c r="B116" s="2" t="s">
        <v>101</v>
      </c>
      <c r="C116" s="2">
        <v>100</v>
      </c>
      <c r="D116" s="33">
        <v>200</v>
      </c>
      <c r="E116" s="2">
        <v>0</v>
      </c>
      <c r="F116" s="2">
        <v>0</v>
      </c>
      <c r="G116" s="9" t="s">
        <v>123</v>
      </c>
      <c r="H116" s="9"/>
      <c r="I116" s="32"/>
      <c r="J116" s="42"/>
      <c r="K116" s="43"/>
      <c r="L116" s="9" t="s">
        <v>206</v>
      </c>
      <c r="M116" s="116"/>
      <c r="N116" s="117"/>
    </row>
    <row r="117" spans="1:14" x14ac:dyDescent="0.25">
      <c r="A117" s="111">
        <v>112</v>
      </c>
      <c r="B117" s="3" t="s">
        <v>27</v>
      </c>
      <c r="C117" s="2">
        <v>100</v>
      </c>
      <c r="D117" s="28">
        <v>320</v>
      </c>
      <c r="E117" s="3">
        <v>38</v>
      </c>
      <c r="F117" s="3">
        <v>0.12</v>
      </c>
      <c r="G117" s="8" t="s">
        <v>112</v>
      </c>
      <c r="H117" s="8"/>
      <c r="I117" s="29"/>
      <c r="J117" s="39"/>
      <c r="K117" s="43"/>
      <c r="L117" s="23" t="s">
        <v>207</v>
      </c>
      <c r="M117" s="116"/>
      <c r="N117" s="117"/>
    </row>
    <row r="118" spans="1:14" x14ac:dyDescent="0.25">
      <c r="A118" s="111">
        <v>113</v>
      </c>
      <c r="B118" s="3" t="s">
        <v>58</v>
      </c>
      <c r="C118" s="2">
        <v>100</v>
      </c>
      <c r="D118" s="28">
        <v>134</v>
      </c>
      <c r="E118" s="3">
        <v>17</v>
      </c>
      <c r="F118" s="3">
        <v>0.13</v>
      </c>
      <c r="G118" s="8" t="s">
        <v>118</v>
      </c>
      <c r="H118" s="8"/>
      <c r="I118" s="29"/>
      <c r="J118" s="39"/>
      <c r="K118" s="43"/>
      <c r="L118" s="23" t="s">
        <v>208</v>
      </c>
      <c r="M118" s="116"/>
      <c r="N118" s="117"/>
    </row>
    <row r="119" spans="1:14" x14ac:dyDescent="0.25">
      <c r="A119" s="111">
        <v>114</v>
      </c>
      <c r="B119" s="3" t="s">
        <v>35</v>
      </c>
      <c r="C119" s="2">
        <v>100</v>
      </c>
      <c r="D119" s="34">
        <v>240</v>
      </c>
      <c r="E119" s="3">
        <v>59</v>
      </c>
      <c r="F119" s="3">
        <v>0.25</v>
      </c>
      <c r="G119" s="8" t="s">
        <v>113</v>
      </c>
      <c r="H119" s="8"/>
      <c r="I119" s="29"/>
      <c r="J119" s="39"/>
      <c r="K119" s="43"/>
      <c r="L119" s="23" t="s">
        <v>209</v>
      </c>
      <c r="M119" s="116"/>
      <c r="N119" s="117"/>
    </row>
    <row r="120" spans="1:14" x14ac:dyDescent="0.25">
      <c r="A120" s="111">
        <v>115</v>
      </c>
      <c r="B120" s="10" t="s">
        <v>32</v>
      </c>
      <c r="C120" s="11">
        <v>100</v>
      </c>
      <c r="D120" s="35">
        <v>240</v>
      </c>
      <c r="E120" s="10">
        <v>33</v>
      </c>
      <c r="F120" s="10">
        <v>0.14000000000000001</v>
      </c>
      <c r="G120" s="12" t="s">
        <v>114</v>
      </c>
      <c r="H120" s="12"/>
      <c r="I120" s="30"/>
      <c r="J120" s="40"/>
      <c r="K120" s="43"/>
      <c r="L120" s="24" t="s">
        <v>83</v>
      </c>
      <c r="M120" s="116"/>
      <c r="N120" s="117"/>
    </row>
    <row r="121" spans="1:14" x14ac:dyDescent="0.25">
      <c r="A121" s="111">
        <v>116</v>
      </c>
      <c r="B121" s="10" t="s">
        <v>33</v>
      </c>
      <c r="C121" s="11">
        <v>100</v>
      </c>
      <c r="D121" s="35">
        <v>240</v>
      </c>
      <c r="E121" s="10">
        <v>0</v>
      </c>
      <c r="F121" s="10">
        <v>0</v>
      </c>
      <c r="G121" s="12" t="s">
        <v>115</v>
      </c>
      <c r="H121" s="12"/>
      <c r="I121" s="30"/>
      <c r="J121" s="40"/>
      <c r="K121" s="43"/>
      <c r="L121" s="24" t="s">
        <v>83</v>
      </c>
      <c r="M121" s="116"/>
      <c r="N121" s="117"/>
    </row>
    <row r="122" spans="1:14" ht="17.25" customHeight="1" x14ac:dyDescent="0.25">
      <c r="A122" s="111">
        <v>117</v>
      </c>
      <c r="B122" s="10" t="s">
        <v>36</v>
      </c>
      <c r="C122" s="11">
        <v>100</v>
      </c>
      <c r="D122" s="35">
        <v>230</v>
      </c>
      <c r="E122" s="10">
        <v>14</v>
      </c>
      <c r="F122" s="10">
        <v>0.06</v>
      </c>
      <c r="G122" s="12" t="s">
        <v>116</v>
      </c>
      <c r="H122" s="12"/>
      <c r="I122" s="30"/>
      <c r="J122" s="40"/>
      <c r="K122" s="43"/>
      <c r="L122" s="24" t="s">
        <v>83</v>
      </c>
      <c r="M122" s="116"/>
      <c r="N122" s="117"/>
    </row>
    <row r="123" spans="1:14" x14ac:dyDescent="0.25">
      <c r="A123" s="111">
        <v>118</v>
      </c>
      <c r="B123" s="13" t="s">
        <v>59</v>
      </c>
      <c r="C123" s="14">
        <v>100</v>
      </c>
      <c r="D123" s="36">
        <v>130</v>
      </c>
      <c r="E123" s="13">
        <v>55</v>
      </c>
      <c r="F123" s="13">
        <v>0.42</v>
      </c>
      <c r="G123" s="16" t="s">
        <v>119</v>
      </c>
      <c r="H123" s="16"/>
      <c r="I123" s="31"/>
      <c r="J123" s="41"/>
      <c r="K123" s="43"/>
      <c r="L123" s="25" t="s">
        <v>83</v>
      </c>
      <c r="M123" s="116"/>
      <c r="N123" s="117"/>
    </row>
    <row r="124" spans="1:14" x14ac:dyDescent="0.25">
      <c r="A124" s="111">
        <v>119</v>
      </c>
      <c r="B124" s="3" t="s">
        <v>21</v>
      </c>
      <c r="C124" s="17">
        <v>120</v>
      </c>
      <c r="D124" s="28">
        <v>435</v>
      </c>
      <c r="E124" s="3">
        <v>759</v>
      </c>
      <c r="F124" s="3">
        <v>1.74</v>
      </c>
      <c r="G124" s="8" t="s">
        <v>219</v>
      </c>
      <c r="H124" s="27">
        <v>136</v>
      </c>
      <c r="I124" s="28">
        <v>220</v>
      </c>
      <c r="J124" s="38">
        <v>0.62</v>
      </c>
      <c r="K124" s="43">
        <v>100</v>
      </c>
      <c r="L124" s="9"/>
      <c r="M124" s="116">
        <v>120</v>
      </c>
      <c r="N124" s="117">
        <f>SUM(K124:K149)</f>
        <v>1950</v>
      </c>
    </row>
    <row r="125" spans="1:14" ht="16.5" customHeight="1" x14ac:dyDescent="0.25">
      <c r="A125" s="111">
        <v>120</v>
      </c>
      <c r="B125" s="3" t="s">
        <v>2</v>
      </c>
      <c r="C125" s="18">
        <v>120</v>
      </c>
      <c r="D125" s="34">
        <v>2080</v>
      </c>
      <c r="E125" s="4">
        <v>1109</v>
      </c>
      <c r="F125" s="3">
        <v>0.53</v>
      </c>
      <c r="G125" s="8" t="s">
        <v>223</v>
      </c>
      <c r="H125" s="27">
        <v>60</v>
      </c>
      <c r="I125" s="28">
        <v>470</v>
      </c>
      <c r="J125" s="38" t="s">
        <v>240</v>
      </c>
      <c r="K125" s="43">
        <v>200</v>
      </c>
      <c r="L125" s="23"/>
      <c r="M125" s="116"/>
      <c r="N125" s="117"/>
    </row>
    <row r="126" spans="1:14" x14ac:dyDescent="0.25">
      <c r="A126" s="111">
        <v>121</v>
      </c>
      <c r="B126" s="3" t="s">
        <v>1</v>
      </c>
      <c r="C126" s="18">
        <v>120</v>
      </c>
      <c r="D126" s="34">
        <v>2269</v>
      </c>
      <c r="E126" s="4">
        <v>2486</v>
      </c>
      <c r="F126" s="3">
        <v>1.1000000000000001</v>
      </c>
      <c r="G126" s="8" t="s">
        <v>111</v>
      </c>
      <c r="H126" s="27">
        <v>34</v>
      </c>
      <c r="I126" s="28">
        <v>600</v>
      </c>
      <c r="J126" s="38" t="s">
        <v>150</v>
      </c>
      <c r="K126" s="43">
        <v>200</v>
      </c>
      <c r="L126" s="23"/>
      <c r="M126" s="116"/>
      <c r="N126" s="117"/>
    </row>
    <row r="127" spans="1:14" x14ac:dyDescent="0.25">
      <c r="A127" s="111">
        <v>122</v>
      </c>
      <c r="B127" s="3" t="s">
        <v>5</v>
      </c>
      <c r="C127" s="17">
        <v>120</v>
      </c>
      <c r="D127" s="34">
        <v>1002</v>
      </c>
      <c r="E127" s="3">
        <v>531</v>
      </c>
      <c r="F127" s="3">
        <v>0.53</v>
      </c>
      <c r="G127" s="8" t="s">
        <v>219</v>
      </c>
      <c r="H127" s="27">
        <v>28</v>
      </c>
      <c r="I127" s="28">
        <v>200</v>
      </c>
      <c r="J127" s="38" t="s">
        <v>160</v>
      </c>
      <c r="K127" s="43">
        <v>100</v>
      </c>
      <c r="L127" s="23"/>
      <c r="M127" s="116"/>
      <c r="N127" s="117"/>
    </row>
    <row r="128" spans="1:14" x14ac:dyDescent="0.25">
      <c r="A128" s="111">
        <v>123</v>
      </c>
      <c r="B128" s="3" t="s">
        <v>68</v>
      </c>
      <c r="C128" s="18">
        <v>120</v>
      </c>
      <c r="D128" s="28">
        <v>170</v>
      </c>
      <c r="E128" s="3">
        <v>152</v>
      </c>
      <c r="F128" s="3">
        <v>0.89</v>
      </c>
      <c r="G128" s="8" t="s">
        <v>125</v>
      </c>
      <c r="H128" s="27">
        <v>53</v>
      </c>
      <c r="I128" s="28">
        <v>145</v>
      </c>
      <c r="J128" s="38" t="s">
        <v>157</v>
      </c>
      <c r="K128" s="43">
        <f>D128-I128</f>
        <v>25</v>
      </c>
      <c r="L128" s="9"/>
      <c r="M128" s="116"/>
      <c r="N128" s="117"/>
    </row>
    <row r="129" spans="1:14" x14ac:dyDescent="0.25">
      <c r="A129" s="111">
        <v>124</v>
      </c>
      <c r="B129" s="3" t="s">
        <v>71</v>
      </c>
      <c r="C129" s="19">
        <v>120</v>
      </c>
      <c r="D129" s="28">
        <v>128</v>
      </c>
      <c r="E129" s="3">
        <v>128</v>
      </c>
      <c r="F129" s="3">
        <v>1</v>
      </c>
      <c r="G129" s="8" t="s">
        <v>219</v>
      </c>
      <c r="H129" s="27">
        <v>19</v>
      </c>
      <c r="I129" s="28">
        <v>126</v>
      </c>
      <c r="J129" s="38" t="s">
        <v>162</v>
      </c>
      <c r="K129" s="43">
        <v>25</v>
      </c>
      <c r="L129" s="23"/>
      <c r="M129" s="116"/>
      <c r="N129" s="117"/>
    </row>
    <row r="130" spans="1:14" x14ac:dyDescent="0.25">
      <c r="A130" s="111">
        <v>125</v>
      </c>
      <c r="B130" s="3" t="s">
        <v>52</v>
      </c>
      <c r="C130" s="18">
        <v>120</v>
      </c>
      <c r="D130" s="28">
        <v>170</v>
      </c>
      <c r="E130" s="3">
        <v>284</v>
      </c>
      <c r="F130" s="3">
        <v>1.67</v>
      </c>
      <c r="G130" s="8" t="s">
        <v>226</v>
      </c>
      <c r="H130" s="27">
        <v>31</v>
      </c>
      <c r="I130" s="28">
        <v>50</v>
      </c>
      <c r="J130" s="38" t="s">
        <v>238</v>
      </c>
      <c r="K130" s="43">
        <f>100</f>
        <v>100</v>
      </c>
      <c r="L130" s="23"/>
      <c r="M130" s="116"/>
      <c r="N130" s="117"/>
    </row>
    <row r="131" spans="1:14" x14ac:dyDescent="0.25">
      <c r="A131" s="111">
        <v>126</v>
      </c>
      <c r="B131" s="3" t="s">
        <v>17</v>
      </c>
      <c r="C131" s="18">
        <v>120</v>
      </c>
      <c r="D131" s="28">
        <v>520</v>
      </c>
      <c r="E131" s="3">
        <v>178</v>
      </c>
      <c r="F131" s="3">
        <v>0.34</v>
      </c>
      <c r="G131" s="8" t="s">
        <v>225</v>
      </c>
      <c r="H131" s="27">
        <v>13</v>
      </c>
      <c r="I131" s="28">
        <v>200</v>
      </c>
      <c r="J131" s="38" t="s">
        <v>143</v>
      </c>
      <c r="K131" s="43">
        <v>100</v>
      </c>
      <c r="L131" s="9"/>
      <c r="M131" s="116"/>
      <c r="N131" s="117"/>
    </row>
    <row r="132" spans="1:14" x14ac:dyDescent="0.25">
      <c r="A132" s="111">
        <v>127</v>
      </c>
      <c r="B132" s="3" t="s">
        <v>26</v>
      </c>
      <c r="C132" s="18">
        <v>120</v>
      </c>
      <c r="D132" s="28">
        <v>444</v>
      </c>
      <c r="E132" s="3">
        <v>206</v>
      </c>
      <c r="F132" s="3">
        <v>0.46</v>
      </c>
      <c r="G132" s="8" t="s">
        <v>121</v>
      </c>
      <c r="H132" s="27">
        <v>11</v>
      </c>
      <c r="I132" s="28">
        <v>100</v>
      </c>
      <c r="J132" s="38" t="s">
        <v>155</v>
      </c>
      <c r="K132" s="43">
        <v>50</v>
      </c>
      <c r="L132" s="9"/>
      <c r="M132" s="116"/>
      <c r="N132" s="117"/>
    </row>
    <row r="133" spans="1:14" x14ac:dyDescent="0.25">
      <c r="A133" s="111">
        <v>128</v>
      </c>
      <c r="B133" s="3" t="s">
        <v>31</v>
      </c>
      <c r="C133" s="19">
        <v>120</v>
      </c>
      <c r="D133" s="28">
        <v>370</v>
      </c>
      <c r="E133" s="3">
        <v>205</v>
      </c>
      <c r="F133" s="3">
        <v>0.55000000000000004</v>
      </c>
      <c r="G133" s="8" t="s">
        <v>107</v>
      </c>
      <c r="H133" s="27">
        <v>36</v>
      </c>
      <c r="I133" s="28">
        <v>300</v>
      </c>
      <c r="J133" s="38" t="s">
        <v>146</v>
      </c>
      <c r="K133" s="43">
        <f>100</f>
        <v>100</v>
      </c>
      <c r="L133" s="23"/>
      <c r="M133" s="116"/>
      <c r="N133" s="117"/>
    </row>
    <row r="134" spans="1:14" x14ac:dyDescent="0.25">
      <c r="A134" s="111">
        <v>129</v>
      </c>
      <c r="B134" s="3" t="s">
        <v>46</v>
      </c>
      <c r="C134" s="18">
        <v>120</v>
      </c>
      <c r="D134" s="28">
        <v>300</v>
      </c>
      <c r="E134" s="3">
        <v>151</v>
      </c>
      <c r="F134" s="3">
        <v>0.5</v>
      </c>
      <c r="G134" s="8" t="s">
        <v>223</v>
      </c>
      <c r="H134" s="27">
        <v>28</v>
      </c>
      <c r="I134" s="28">
        <v>250</v>
      </c>
      <c r="J134" s="38" t="s">
        <v>155</v>
      </c>
      <c r="K134" s="43">
        <f>100</f>
        <v>100</v>
      </c>
      <c r="L134" s="23"/>
      <c r="M134" s="116"/>
      <c r="N134" s="117"/>
    </row>
    <row r="135" spans="1:14" x14ac:dyDescent="0.25">
      <c r="A135" s="111">
        <v>130</v>
      </c>
      <c r="B135" s="3" t="s">
        <v>48</v>
      </c>
      <c r="C135" s="17">
        <v>120</v>
      </c>
      <c r="D135" s="34">
        <v>290</v>
      </c>
      <c r="E135" s="4">
        <v>137</v>
      </c>
      <c r="F135" s="3">
        <v>0.47</v>
      </c>
      <c r="G135" s="8" t="s">
        <v>107</v>
      </c>
      <c r="H135" s="27">
        <v>14</v>
      </c>
      <c r="I135" s="28">
        <v>120</v>
      </c>
      <c r="J135" s="38" t="s">
        <v>146</v>
      </c>
      <c r="K135" s="43">
        <f>50</f>
        <v>50</v>
      </c>
      <c r="L135" s="23"/>
      <c r="M135" s="116"/>
      <c r="N135" s="117"/>
    </row>
    <row r="136" spans="1:14" x14ac:dyDescent="0.25">
      <c r="A136" s="111">
        <v>131</v>
      </c>
      <c r="B136" s="3" t="s">
        <v>84</v>
      </c>
      <c r="C136" s="19">
        <v>120</v>
      </c>
      <c r="D136" s="28">
        <v>240</v>
      </c>
      <c r="E136" s="3">
        <v>197</v>
      </c>
      <c r="F136" s="3">
        <v>0.82</v>
      </c>
      <c r="G136" s="8" t="s">
        <v>107</v>
      </c>
      <c r="H136" s="27">
        <v>11</v>
      </c>
      <c r="I136" s="28">
        <v>100</v>
      </c>
      <c r="J136" s="38" t="s">
        <v>155</v>
      </c>
      <c r="K136" s="43">
        <f>100</f>
        <v>100</v>
      </c>
      <c r="L136" s="23"/>
      <c r="M136" s="116"/>
      <c r="N136" s="117"/>
    </row>
    <row r="137" spans="1:14" x14ac:dyDescent="0.25">
      <c r="A137" s="111">
        <v>132</v>
      </c>
      <c r="B137" s="3" t="s">
        <v>34</v>
      </c>
      <c r="C137" s="18">
        <v>120</v>
      </c>
      <c r="D137" s="28">
        <v>240</v>
      </c>
      <c r="E137" s="3">
        <v>199</v>
      </c>
      <c r="F137" s="3">
        <v>0.83</v>
      </c>
      <c r="G137" s="8" t="s">
        <v>231</v>
      </c>
      <c r="H137" s="27">
        <v>8</v>
      </c>
      <c r="I137" s="28">
        <v>206</v>
      </c>
      <c r="J137" s="38" t="s">
        <v>142</v>
      </c>
      <c r="K137" s="43">
        <f>50</f>
        <v>50</v>
      </c>
      <c r="L137" s="23"/>
      <c r="M137" s="116"/>
      <c r="N137" s="117"/>
    </row>
    <row r="138" spans="1:14" x14ac:dyDescent="0.25">
      <c r="A138" s="111">
        <v>133</v>
      </c>
      <c r="B138" s="3" t="s">
        <v>13</v>
      </c>
      <c r="C138" s="19">
        <v>120</v>
      </c>
      <c r="D138" s="28">
        <v>600</v>
      </c>
      <c r="E138" s="3">
        <v>345</v>
      </c>
      <c r="F138" s="3">
        <v>0.57999999999999996</v>
      </c>
      <c r="G138" s="8" t="s">
        <v>221</v>
      </c>
      <c r="H138" s="27">
        <v>14</v>
      </c>
      <c r="I138" s="28">
        <v>200</v>
      </c>
      <c r="J138" s="38" t="s">
        <v>143</v>
      </c>
      <c r="K138" s="43">
        <v>200</v>
      </c>
      <c r="L138" s="23"/>
      <c r="M138" s="116"/>
      <c r="N138" s="117"/>
    </row>
    <row r="139" spans="1:14" x14ac:dyDescent="0.25">
      <c r="A139" s="111">
        <v>134</v>
      </c>
      <c r="B139" s="3" t="s">
        <v>44</v>
      </c>
      <c r="C139" s="18">
        <v>120</v>
      </c>
      <c r="D139" s="28">
        <v>300</v>
      </c>
      <c r="E139" s="3">
        <v>188</v>
      </c>
      <c r="F139" s="3">
        <v>0.63</v>
      </c>
      <c r="G139" s="8" t="s">
        <v>232</v>
      </c>
      <c r="H139" s="27">
        <v>4</v>
      </c>
      <c r="I139" s="28">
        <v>100</v>
      </c>
      <c r="J139" s="38" t="s">
        <v>142</v>
      </c>
      <c r="K139" s="43">
        <f>50</f>
        <v>50</v>
      </c>
      <c r="L139" s="23"/>
      <c r="M139" s="116"/>
      <c r="N139" s="117"/>
    </row>
    <row r="140" spans="1:14" x14ac:dyDescent="0.25">
      <c r="A140" s="111">
        <v>135</v>
      </c>
      <c r="B140" s="3" t="s">
        <v>29</v>
      </c>
      <c r="C140" s="18">
        <v>120</v>
      </c>
      <c r="D140" s="34">
        <v>300</v>
      </c>
      <c r="E140" s="4">
        <v>96</v>
      </c>
      <c r="F140" s="3">
        <v>0.32</v>
      </c>
      <c r="G140" s="8" t="s">
        <v>219</v>
      </c>
      <c r="H140" s="27">
        <v>4</v>
      </c>
      <c r="I140" s="28">
        <v>40</v>
      </c>
      <c r="J140" s="38" t="s">
        <v>151</v>
      </c>
      <c r="K140" s="43">
        <f>100</f>
        <v>100</v>
      </c>
      <c r="L140" s="23"/>
      <c r="M140" s="116"/>
      <c r="N140" s="117"/>
    </row>
    <row r="141" spans="1:14" x14ac:dyDescent="0.25">
      <c r="A141" s="111">
        <v>136</v>
      </c>
      <c r="B141" s="3" t="s">
        <v>43</v>
      </c>
      <c r="C141" s="18">
        <v>120</v>
      </c>
      <c r="D141" s="28">
        <v>200</v>
      </c>
      <c r="E141" s="3">
        <v>148</v>
      </c>
      <c r="F141" s="3">
        <v>0.74</v>
      </c>
      <c r="G141" s="8" t="s">
        <v>219</v>
      </c>
      <c r="H141" s="27">
        <v>5</v>
      </c>
      <c r="I141" s="28">
        <v>100</v>
      </c>
      <c r="J141" s="38" t="s">
        <v>149</v>
      </c>
      <c r="K141" s="43">
        <v>100</v>
      </c>
      <c r="L141" s="23"/>
      <c r="M141" s="116"/>
      <c r="N141" s="117"/>
    </row>
    <row r="142" spans="1:14" x14ac:dyDescent="0.25">
      <c r="A142" s="111">
        <v>137</v>
      </c>
      <c r="B142" s="3" t="s">
        <v>88</v>
      </c>
      <c r="C142" s="18">
        <v>120</v>
      </c>
      <c r="D142" s="28">
        <v>101</v>
      </c>
      <c r="E142" s="3">
        <v>9</v>
      </c>
      <c r="F142" s="3">
        <v>0.09</v>
      </c>
      <c r="G142" s="8" t="s">
        <v>106</v>
      </c>
      <c r="H142" s="27">
        <v>3</v>
      </c>
      <c r="I142" s="28">
        <v>100</v>
      </c>
      <c r="J142" s="38" t="s">
        <v>161</v>
      </c>
      <c r="K142" s="43">
        <f>50</f>
        <v>50</v>
      </c>
      <c r="L142" s="23"/>
      <c r="M142" s="116"/>
      <c r="N142" s="117"/>
    </row>
    <row r="143" spans="1:14" x14ac:dyDescent="0.25">
      <c r="A143" s="111">
        <v>138</v>
      </c>
      <c r="B143" s="3" t="s">
        <v>53</v>
      </c>
      <c r="C143" s="18">
        <v>120</v>
      </c>
      <c r="D143" s="28">
        <v>160</v>
      </c>
      <c r="E143" s="3">
        <v>252</v>
      </c>
      <c r="F143" s="3">
        <v>1.58</v>
      </c>
      <c r="G143" s="8" t="s">
        <v>233</v>
      </c>
      <c r="H143" s="27">
        <v>1</v>
      </c>
      <c r="I143" s="28">
        <v>40</v>
      </c>
      <c r="J143" s="38" t="s">
        <v>161</v>
      </c>
      <c r="K143" s="43">
        <f>50</f>
        <v>50</v>
      </c>
      <c r="L143" s="23"/>
      <c r="M143" s="116"/>
      <c r="N143" s="117"/>
    </row>
    <row r="144" spans="1:14" x14ac:dyDescent="0.25">
      <c r="A144" s="111">
        <v>139</v>
      </c>
      <c r="B144" s="3" t="s">
        <v>102</v>
      </c>
      <c r="C144" s="4">
        <v>120</v>
      </c>
      <c r="D144" s="28"/>
      <c r="E144" s="3"/>
      <c r="F144" s="3"/>
      <c r="G144" s="8" t="s">
        <v>221</v>
      </c>
      <c r="H144" s="39" t="s">
        <v>242</v>
      </c>
      <c r="I144" s="79" t="s">
        <v>241</v>
      </c>
      <c r="J144" s="39" t="s">
        <v>243</v>
      </c>
      <c r="K144" s="43">
        <v>100</v>
      </c>
      <c r="L144" s="23"/>
      <c r="M144" s="116"/>
      <c r="N144" s="117"/>
    </row>
    <row r="145" spans="1:14" x14ac:dyDescent="0.25">
      <c r="A145" s="111">
        <v>140</v>
      </c>
      <c r="B145" s="3" t="s">
        <v>55</v>
      </c>
      <c r="C145" s="2">
        <v>120</v>
      </c>
      <c r="D145" s="28">
        <v>152</v>
      </c>
      <c r="E145" s="3">
        <v>113</v>
      </c>
      <c r="F145" s="3">
        <v>0.74</v>
      </c>
      <c r="G145" s="8" t="s">
        <v>112</v>
      </c>
      <c r="H145" s="27">
        <v>0</v>
      </c>
      <c r="I145" s="28">
        <v>20</v>
      </c>
      <c r="J145" s="38">
        <v>0</v>
      </c>
      <c r="K145" s="43"/>
      <c r="L145" s="23" t="s">
        <v>211</v>
      </c>
      <c r="M145" s="116"/>
      <c r="N145" s="117"/>
    </row>
    <row r="146" spans="1:14" x14ac:dyDescent="0.25">
      <c r="A146" s="111">
        <v>141</v>
      </c>
      <c r="B146" s="3" t="s">
        <v>92</v>
      </c>
      <c r="C146" s="2">
        <v>120</v>
      </c>
      <c r="D146" s="28">
        <v>131</v>
      </c>
      <c r="E146" s="3">
        <v>40</v>
      </c>
      <c r="F146" s="3">
        <v>0.31</v>
      </c>
      <c r="G146" s="8" t="s">
        <v>111</v>
      </c>
      <c r="H146" s="27">
        <v>0</v>
      </c>
      <c r="I146" s="28">
        <v>12</v>
      </c>
      <c r="J146" s="38">
        <v>0</v>
      </c>
      <c r="K146" s="43"/>
      <c r="L146" s="23" t="s">
        <v>212</v>
      </c>
      <c r="M146" s="116"/>
      <c r="N146" s="117"/>
    </row>
    <row r="147" spans="1:14" x14ac:dyDescent="0.25">
      <c r="A147" s="111">
        <v>142</v>
      </c>
      <c r="B147" s="3" t="s">
        <v>93</v>
      </c>
      <c r="C147" s="3">
        <v>120</v>
      </c>
      <c r="D147" s="28">
        <v>35</v>
      </c>
      <c r="E147" s="3">
        <v>49</v>
      </c>
      <c r="F147" s="3">
        <v>1.4</v>
      </c>
      <c r="G147" s="8" t="s">
        <v>127</v>
      </c>
      <c r="H147" s="27">
        <v>0</v>
      </c>
      <c r="I147" s="28">
        <v>22</v>
      </c>
      <c r="J147" s="38">
        <v>0</v>
      </c>
      <c r="K147" s="43"/>
      <c r="L147" s="23" t="s">
        <v>196</v>
      </c>
      <c r="M147" s="116"/>
      <c r="N147" s="117"/>
    </row>
    <row r="148" spans="1:14" x14ac:dyDescent="0.25">
      <c r="A148" s="111">
        <v>143</v>
      </c>
      <c r="B148" s="3" t="s">
        <v>16</v>
      </c>
      <c r="C148" s="4">
        <v>120</v>
      </c>
      <c r="D148" s="34">
        <v>540</v>
      </c>
      <c r="E148" s="4">
        <v>186</v>
      </c>
      <c r="F148" s="3">
        <v>0.34</v>
      </c>
      <c r="G148" s="8" t="s">
        <v>126</v>
      </c>
      <c r="H148" s="8"/>
      <c r="I148" s="29"/>
      <c r="J148" s="39"/>
      <c r="K148" s="43"/>
      <c r="L148" s="23" t="s">
        <v>210</v>
      </c>
      <c r="M148" s="116"/>
      <c r="N148" s="117"/>
    </row>
    <row r="149" spans="1:14" x14ac:dyDescent="0.25">
      <c r="A149" s="111">
        <v>144</v>
      </c>
      <c r="B149" s="3" t="s">
        <v>95</v>
      </c>
      <c r="C149" s="4">
        <v>120</v>
      </c>
      <c r="D149" s="28">
        <v>54</v>
      </c>
      <c r="E149" s="3">
        <v>52</v>
      </c>
      <c r="F149" s="3">
        <v>0.96</v>
      </c>
      <c r="G149" s="8" t="s">
        <v>128</v>
      </c>
      <c r="H149" s="8"/>
      <c r="I149" s="29"/>
      <c r="J149" s="39"/>
      <c r="K149" s="43"/>
      <c r="L149" s="23" t="s">
        <v>213</v>
      </c>
      <c r="M149" s="116"/>
      <c r="N149" s="117"/>
    </row>
    <row r="150" spans="1:14" x14ac:dyDescent="0.25">
      <c r="A150" s="111">
        <v>145</v>
      </c>
      <c r="B150" s="3" t="s">
        <v>11</v>
      </c>
      <c r="C150" s="18">
        <v>170</v>
      </c>
      <c r="D150" s="28">
        <v>790</v>
      </c>
      <c r="E150" s="3">
        <v>403</v>
      </c>
      <c r="F150" s="3">
        <v>0.51</v>
      </c>
      <c r="G150" s="8" t="s">
        <v>111</v>
      </c>
      <c r="H150" s="27">
        <v>44</v>
      </c>
      <c r="I150" s="28">
        <v>200</v>
      </c>
      <c r="J150" s="38" t="s">
        <v>244</v>
      </c>
      <c r="K150" s="43">
        <f>300</f>
        <v>300</v>
      </c>
      <c r="L150" s="9" t="s">
        <v>235</v>
      </c>
      <c r="M150" s="116">
        <v>170</v>
      </c>
      <c r="N150" s="117">
        <f>SUM(K150:K164)</f>
        <v>1800</v>
      </c>
    </row>
    <row r="151" spans="1:14" x14ac:dyDescent="0.25">
      <c r="A151" s="111">
        <v>146</v>
      </c>
      <c r="B151" s="3" t="s">
        <v>9</v>
      </c>
      <c r="C151" s="18">
        <v>170</v>
      </c>
      <c r="D151" s="34">
        <v>800</v>
      </c>
      <c r="E151" s="4">
        <v>643</v>
      </c>
      <c r="F151" s="3">
        <v>0.8</v>
      </c>
      <c r="G151" s="8" t="s">
        <v>110</v>
      </c>
      <c r="H151" s="27">
        <v>38</v>
      </c>
      <c r="I151" s="28">
        <v>400</v>
      </c>
      <c r="J151" s="38" t="s">
        <v>145</v>
      </c>
      <c r="K151" s="43">
        <f>D151-I151</f>
        <v>400</v>
      </c>
      <c r="L151" s="23"/>
      <c r="M151" s="116"/>
      <c r="N151" s="117"/>
    </row>
    <row r="152" spans="1:14" x14ac:dyDescent="0.25">
      <c r="A152" s="111">
        <v>147</v>
      </c>
      <c r="B152" s="3" t="s">
        <v>87</v>
      </c>
      <c r="C152" s="18">
        <v>170</v>
      </c>
      <c r="D152" s="28">
        <v>130</v>
      </c>
      <c r="E152" s="3">
        <v>18</v>
      </c>
      <c r="F152" s="3">
        <v>0.14000000000000001</v>
      </c>
      <c r="G152" s="8" t="s">
        <v>226</v>
      </c>
      <c r="H152" s="27">
        <v>27</v>
      </c>
      <c r="I152" s="28">
        <v>200</v>
      </c>
      <c r="J152" s="38" t="s">
        <v>160</v>
      </c>
      <c r="K152" s="43">
        <f>200</f>
        <v>200</v>
      </c>
      <c r="L152" s="23" t="s">
        <v>86</v>
      </c>
      <c r="M152" s="116"/>
      <c r="N152" s="117"/>
    </row>
    <row r="153" spans="1:14" x14ac:dyDescent="0.25">
      <c r="A153" s="111">
        <v>148</v>
      </c>
      <c r="B153" s="3" t="s">
        <v>100</v>
      </c>
      <c r="C153" s="18">
        <v>170</v>
      </c>
      <c r="D153" s="28">
        <v>30</v>
      </c>
      <c r="E153" s="3">
        <v>47</v>
      </c>
      <c r="F153" s="3">
        <v>1.57</v>
      </c>
      <c r="G153" s="8" t="s">
        <v>223</v>
      </c>
      <c r="H153" s="27">
        <v>21</v>
      </c>
      <c r="I153" s="28">
        <v>0</v>
      </c>
      <c r="J153" s="38">
        <v>0</v>
      </c>
      <c r="K153" s="43">
        <v>50</v>
      </c>
      <c r="L153" s="23" t="s">
        <v>86</v>
      </c>
      <c r="M153" s="116"/>
      <c r="N153" s="117"/>
    </row>
    <row r="154" spans="1:14" x14ac:dyDescent="0.25">
      <c r="A154" s="111">
        <v>149</v>
      </c>
      <c r="B154" s="3" t="s">
        <v>57</v>
      </c>
      <c r="C154" s="18">
        <v>170</v>
      </c>
      <c r="D154" s="28">
        <v>138</v>
      </c>
      <c r="E154" s="3">
        <v>143</v>
      </c>
      <c r="F154" s="3">
        <v>1.04</v>
      </c>
      <c r="G154" s="8" t="s">
        <v>106</v>
      </c>
      <c r="H154" s="27">
        <v>10</v>
      </c>
      <c r="I154" s="28">
        <v>40</v>
      </c>
      <c r="J154" s="38" t="s">
        <v>148</v>
      </c>
      <c r="K154" s="43">
        <v>100</v>
      </c>
      <c r="L154" s="23"/>
      <c r="M154" s="116"/>
      <c r="N154" s="117"/>
    </row>
    <row r="155" spans="1:14" x14ac:dyDescent="0.25">
      <c r="A155" s="111">
        <v>150</v>
      </c>
      <c r="B155" s="3" t="s">
        <v>10</v>
      </c>
      <c r="C155" s="18">
        <v>170</v>
      </c>
      <c r="D155" s="34">
        <v>800</v>
      </c>
      <c r="E155" s="4">
        <v>610</v>
      </c>
      <c r="F155" s="3">
        <v>0.76</v>
      </c>
      <c r="G155" s="8" t="s">
        <v>109</v>
      </c>
      <c r="H155" s="27">
        <v>6</v>
      </c>
      <c r="I155" s="28">
        <v>400</v>
      </c>
      <c r="J155" s="38" t="s">
        <v>147</v>
      </c>
      <c r="K155" s="43">
        <v>100</v>
      </c>
      <c r="L155" s="23"/>
      <c r="M155" s="116"/>
      <c r="N155" s="117"/>
    </row>
    <row r="156" spans="1:14" x14ac:dyDescent="0.25">
      <c r="A156" s="111">
        <v>151</v>
      </c>
      <c r="B156" s="3" t="s">
        <v>22</v>
      </c>
      <c r="C156" s="18">
        <v>170</v>
      </c>
      <c r="D156" s="28">
        <v>425</v>
      </c>
      <c r="E156" s="3">
        <v>201</v>
      </c>
      <c r="F156" s="3">
        <v>0.47</v>
      </c>
      <c r="G156" s="8" t="s">
        <v>129</v>
      </c>
      <c r="H156" s="27">
        <v>5</v>
      </c>
      <c r="I156" s="28">
        <v>102</v>
      </c>
      <c r="J156" s="38" t="s">
        <v>149</v>
      </c>
      <c r="K156" s="43">
        <v>200</v>
      </c>
      <c r="L156" s="23"/>
      <c r="M156" s="116"/>
      <c r="N156" s="117"/>
    </row>
    <row r="157" spans="1:14" x14ac:dyDescent="0.25">
      <c r="A157" s="111">
        <v>152</v>
      </c>
      <c r="B157" s="3" t="s">
        <v>50</v>
      </c>
      <c r="C157" s="18">
        <v>170</v>
      </c>
      <c r="D157" s="28">
        <v>180</v>
      </c>
      <c r="E157" s="3">
        <v>148</v>
      </c>
      <c r="F157" s="3">
        <v>0.82</v>
      </c>
      <c r="G157" s="8" t="s">
        <v>132</v>
      </c>
      <c r="H157" s="27">
        <v>2</v>
      </c>
      <c r="I157" s="28">
        <v>100</v>
      </c>
      <c r="J157" s="38" t="s">
        <v>147</v>
      </c>
      <c r="K157" s="43">
        <v>100</v>
      </c>
      <c r="L157" s="23"/>
      <c r="M157" s="116"/>
      <c r="N157" s="117"/>
    </row>
    <row r="158" spans="1:14" x14ac:dyDescent="0.25">
      <c r="A158" s="111">
        <v>153</v>
      </c>
      <c r="B158" s="3" t="s">
        <v>85</v>
      </c>
      <c r="C158" s="18">
        <v>170</v>
      </c>
      <c r="D158" s="28">
        <v>206</v>
      </c>
      <c r="E158" s="3">
        <v>122</v>
      </c>
      <c r="F158" s="3">
        <v>0.59</v>
      </c>
      <c r="G158" s="8" t="s">
        <v>234</v>
      </c>
      <c r="H158" s="27">
        <v>0</v>
      </c>
      <c r="I158" s="28">
        <v>122</v>
      </c>
      <c r="J158" s="38">
        <v>0</v>
      </c>
      <c r="K158" s="43">
        <v>100</v>
      </c>
      <c r="L158" s="23" t="s">
        <v>137</v>
      </c>
      <c r="M158" s="116"/>
      <c r="N158" s="117"/>
    </row>
    <row r="159" spans="1:14" x14ac:dyDescent="0.25">
      <c r="A159" s="111">
        <v>154</v>
      </c>
      <c r="B159" s="3" t="s">
        <v>79</v>
      </c>
      <c r="C159" s="18">
        <v>170</v>
      </c>
      <c r="D159" s="34">
        <v>1145</v>
      </c>
      <c r="E159" s="4">
        <v>640</v>
      </c>
      <c r="F159" s="3">
        <v>0.56000000000000005</v>
      </c>
      <c r="G159" s="8" t="s">
        <v>127</v>
      </c>
      <c r="H159" s="27">
        <v>54</v>
      </c>
      <c r="I159" s="28">
        <v>300</v>
      </c>
      <c r="J159" s="38" t="s">
        <v>159</v>
      </c>
      <c r="K159" s="43">
        <v>0</v>
      </c>
      <c r="L159" s="23" t="s">
        <v>80</v>
      </c>
      <c r="M159" s="116"/>
      <c r="N159" s="117"/>
    </row>
    <row r="160" spans="1:14" x14ac:dyDescent="0.25">
      <c r="A160" s="111">
        <v>155</v>
      </c>
      <c r="B160" s="3" t="s">
        <v>104</v>
      </c>
      <c r="C160" s="4">
        <v>170</v>
      </c>
      <c r="D160" s="34">
        <v>300</v>
      </c>
      <c r="E160" s="4"/>
      <c r="F160" s="3"/>
      <c r="G160" s="8" t="s">
        <v>131</v>
      </c>
      <c r="H160" s="27">
        <v>0</v>
      </c>
      <c r="I160" s="28">
        <v>50</v>
      </c>
      <c r="J160" s="38">
        <v>0</v>
      </c>
      <c r="K160" s="45">
        <v>50</v>
      </c>
      <c r="L160" s="23" t="s">
        <v>139</v>
      </c>
      <c r="M160" s="116"/>
      <c r="N160" s="117"/>
    </row>
    <row r="161" spans="1:14" x14ac:dyDescent="0.25">
      <c r="A161" s="111">
        <v>156</v>
      </c>
      <c r="B161" s="3" t="s">
        <v>37</v>
      </c>
      <c r="C161" s="4">
        <v>170</v>
      </c>
      <c r="D161" s="28">
        <v>222</v>
      </c>
      <c r="E161" s="3">
        <v>277</v>
      </c>
      <c r="F161" s="3">
        <v>1.25</v>
      </c>
      <c r="G161" s="8" t="s">
        <v>130</v>
      </c>
      <c r="H161" s="27">
        <v>0</v>
      </c>
      <c r="I161" s="28">
        <v>102</v>
      </c>
      <c r="J161" s="38">
        <v>0</v>
      </c>
      <c r="K161" s="43"/>
      <c r="L161" s="23" t="s">
        <v>215</v>
      </c>
      <c r="M161" s="116"/>
      <c r="N161" s="117"/>
    </row>
    <row r="162" spans="1:14" ht="17.25" customHeight="1" x14ac:dyDescent="0.25">
      <c r="A162" s="111">
        <v>157</v>
      </c>
      <c r="B162" s="3" t="s">
        <v>56</v>
      </c>
      <c r="C162" s="4">
        <v>170</v>
      </c>
      <c r="D162" s="28">
        <v>149</v>
      </c>
      <c r="E162" s="3">
        <v>90</v>
      </c>
      <c r="F162" s="3">
        <v>0.6</v>
      </c>
      <c r="G162" s="8" t="s">
        <v>111</v>
      </c>
      <c r="H162" s="27">
        <v>0</v>
      </c>
      <c r="I162" s="28">
        <v>100</v>
      </c>
      <c r="J162" s="38">
        <v>0</v>
      </c>
      <c r="K162" s="43"/>
      <c r="L162" s="23" t="s">
        <v>216</v>
      </c>
      <c r="M162" s="116"/>
      <c r="N162" s="117"/>
    </row>
    <row r="163" spans="1:14" ht="17.25" customHeight="1" x14ac:dyDescent="0.25">
      <c r="A163" s="111">
        <v>158</v>
      </c>
      <c r="B163" s="3" t="s">
        <v>45</v>
      </c>
      <c r="C163" s="4">
        <v>170</v>
      </c>
      <c r="D163" s="34">
        <v>200</v>
      </c>
      <c r="E163" s="4">
        <v>37</v>
      </c>
      <c r="F163" s="3">
        <v>0.19</v>
      </c>
      <c r="G163" s="8" t="s">
        <v>107</v>
      </c>
      <c r="H163" s="8"/>
      <c r="I163" s="29"/>
      <c r="J163" s="39"/>
      <c r="K163" s="43"/>
      <c r="L163" s="23" t="s">
        <v>214</v>
      </c>
      <c r="M163" s="116"/>
      <c r="N163" s="117"/>
    </row>
    <row r="164" spans="1:14" ht="17.25" customHeight="1" x14ac:dyDescent="0.25">
      <c r="A164" s="111">
        <v>159</v>
      </c>
      <c r="B164" s="3" t="s">
        <v>103</v>
      </c>
      <c r="C164" s="4">
        <v>170</v>
      </c>
      <c r="D164" s="34"/>
      <c r="E164" s="4"/>
      <c r="F164" s="3"/>
      <c r="G164" s="8" t="s">
        <v>123</v>
      </c>
      <c r="H164" s="8"/>
      <c r="I164" s="29"/>
      <c r="J164" s="39"/>
      <c r="K164" s="43">
        <v>200</v>
      </c>
      <c r="L164" s="23" t="s">
        <v>138</v>
      </c>
      <c r="M164" s="116"/>
      <c r="N164" s="117"/>
    </row>
    <row r="165" spans="1:14" x14ac:dyDescent="0.25">
      <c r="A165" s="111">
        <v>160</v>
      </c>
      <c r="B165" s="3" t="s">
        <v>2</v>
      </c>
      <c r="C165" s="18">
        <v>180</v>
      </c>
      <c r="D165" s="34">
        <v>2080</v>
      </c>
      <c r="E165" s="4">
        <v>1109</v>
      </c>
      <c r="F165" s="3">
        <v>0.53</v>
      </c>
      <c r="G165" s="8" t="s">
        <v>223</v>
      </c>
      <c r="H165" s="27">
        <v>60</v>
      </c>
      <c r="I165" s="28">
        <v>470</v>
      </c>
      <c r="J165" s="38" t="s">
        <v>240</v>
      </c>
      <c r="K165" s="43">
        <v>300</v>
      </c>
      <c r="L165" s="9"/>
      <c r="M165" s="116">
        <v>180</v>
      </c>
      <c r="N165" s="117">
        <f>SUM(K165:K175)</f>
        <v>1500</v>
      </c>
    </row>
    <row r="166" spans="1:14" x14ac:dyDescent="0.25">
      <c r="A166" s="111">
        <v>161</v>
      </c>
      <c r="B166" s="3" t="s">
        <v>3</v>
      </c>
      <c r="C166" s="18">
        <v>180</v>
      </c>
      <c r="D166" s="34">
        <v>1100</v>
      </c>
      <c r="E166" s="3">
        <v>492</v>
      </c>
      <c r="F166" s="3">
        <v>0.45</v>
      </c>
      <c r="G166" s="8" t="s">
        <v>111</v>
      </c>
      <c r="H166" s="27">
        <v>25</v>
      </c>
      <c r="I166" s="28">
        <v>600</v>
      </c>
      <c r="J166" s="38" t="s">
        <v>142</v>
      </c>
      <c r="K166" s="43">
        <v>200</v>
      </c>
      <c r="L166" s="9"/>
      <c r="M166" s="116"/>
      <c r="N166" s="117"/>
    </row>
    <row r="167" spans="1:14" x14ac:dyDescent="0.25">
      <c r="A167" s="111">
        <v>162</v>
      </c>
      <c r="B167" s="3" t="s">
        <v>81</v>
      </c>
      <c r="C167" s="18">
        <v>180</v>
      </c>
      <c r="D167" s="28">
        <v>640</v>
      </c>
      <c r="E167" s="3">
        <v>605</v>
      </c>
      <c r="F167" s="3">
        <v>0.95</v>
      </c>
      <c r="G167" s="8" t="s">
        <v>219</v>
      </c>
      <c r="H167" s="27">
        <v>42</v>
      </c>
      <c r="I167" s="28">
        <v>260</v>
      </c>
      <c r="J167" s="38" t="s">
        <v>152</v>
      </c>
      <c r="K167" s="43">
        <v>100</v>
      </c>
      <c r="L167" s="9"/>
      <c r="M167" s="116"/>
      <c r="N167" s="117"/>
    </row>
    <row r="168" spans="1:14" x14ac:dyDescent="0.25">
      <c r="A168" s="111">
        <v>163</v>
      </c>
      <c r="B168" s="3" t="s">
        <v>25</v>
      </c>
      <c r="C168" s="18">
        <v>180</v>
      </c>
      <c r="D168" s="28">
        <v>475</v>
      </c>
      <c r="E168" s="3">
        <v>399</v>
      </c>
      <c r="F168" s="3">
        <v>0.84</v>
      </c>
      <c r="G168" s="8" t="s">
        <v>221</v>
      </c>
      <c r="H168" s="27">
        <v>52</v>
      </c>
      <c r="I168" s="28">
        <v>300</v>
      </c>
      <c r="J168" s="38" t="s">
        <v>245</v>
      </c>
      <c r="K168" s="43">
        <v>200</v>
      </c>
      <c r="L168" s="9"/>
      <c r="M168" s="116"/>
      <c r="N168" s="117"/>
    </row>
    <row r="169" spans="1:14" x14ac:dyDescent="0.25">
      <c r="A169" s="111">
        <v>164</v>
      </c>
      <c r="B169" s="2" t="s">
        <v>38</v>
      </c>
      <c r="C169" s="18">
        <v>180</v>
      </c>
      <c r="D169" s="33">
        <v>220</v>
      </c>
      <c r="E169" s="2">
        <v>175</v>
      </c>
      <c r="F169" s="2">
        <v>0.8</v>
      </c>
      <c r="G169" s="9" t="s">
        <v>223</v>
      </c>
      <c r="H169" s="27">
        <v>43</v>
      </c>
      <c r="I169" s="28">
        <v>100</v>
      </c>
      <c r="J169" s="38" t="s">
        <v>246</v>
      </c>
      <c r="K169" s="43">
        <v>150</v>
      </c>
      <c r="L169" s="9"/>
      <c r="M169" s="116"/>
      <c r="N169" s="117"/>
    </row>
    <row r="170" spans="1:14" x14ac:dyDescent="0.25">
      <c r="A170" s="111">
        <v>165</v>
      </c>
      <c r="B170" s="3" t="s">
        <v>18</v>
      </c>
      <c r="C170" s="18">
        <v>180</v>
      </c>
      <c r="D170" s="28">
        <v>600</v>
      </c>
      <c r="E170" s="3">
        <v>440</v>
      </c>
      <c r="F170" s="3">
        <v>0.73</v>
      </c>
      <c r="G170" s="8" t="s">
        <v>221</v>
      </c>
      <c r="H170" s="27">
        <v>9</v>
      </c>
      <c r="I170" s="28">
        <v>200</v>
      </c>
      <c r="J170" s="38" t="s">
        <v>149</v>
      </c>
      <c r="K170" s="43">
        <v>100</v>
      </c>
      <c r="L170" s="9"/>
      <c r="M170" s="116"/>
      <c r="N170" s="117"/>
    </row>
    <row r="171" spans="1:14" x14ac:dyDescent="0.25">
      <c r="A171" s="111">
        <v>166</v>
      </c>
      <c r="B171" s="3" t="s">
        <v>40</v>
      </c>
      <c r="C171" s="18">
        <v>180</v>
      </c>
      <c r="D171" s="28">
        <v>229</v>
      </c>
      <c r="E171" s="3">
        <v>256</v>
      </c>
      <c r="F171" s="3">
        <v>1.1200000000000001</v>
      </c>
      <c r="G171" s="8" t="s">
        <v>224</v>
      </c>
      <c r="H171" s="27">
        <v>7</v>
      </c>
      <c r="I171" s="28">
        <v>100</v>
      </c>
      <c r="J171" s="38" t="s">
        <v>143</v>
      </c>
      <c r="K171" s="43">
        <v>150</v>
      </c>
      <c r="L171" s="9"/>
      <c r="M171" s="116"/>
      <c r="N171" s="117"/>
    </row>
    <row r="172" spans="1:14" x14ac:dyDescent="0.25">
      <c r="A172" s="111">
        <v>167</v>
      </c>
      <c r="B172" s="2" t="s">
        <v>70</v>
      </c>
      <c r="C172" s="18">
        <v>180</v>
      </c>
      <c r="D172" s="33">
        <v>50</v>
      </c>
      <c r="E172" s="2">
        <v>33</v>
      </c>
      <c r="F172" s="2">
        <v>0.66</v>
      </c>
      <c r="G172" s="9" t="s">
        <v>127</v>
      </c>
      <c r="H172" s="27">
        <v>5</v>
      </c>
      <c r="I172" s="28">
        <v>20</v>
      </c>
      <c r="J172" s="38" t="s">
        <v>148</v>
      </c>
      <c r="K172" s="43">
        <v>50</v>
      </c>
      <c r="L172" s="9"/>
      <c r="M172" s="116"/>
      <c r="N172" s="117"/>
    </row>
    <row r="173" spans="1:14" x14ac:dyDescent="0.25">
      <c r="A173" s="111">
        <v>168</v>
      </c>
      <c r="B173" s="2" t="s">
        <v>49</v>
      </c>
      <c r="C173" s="18">
        <v>180</v>
      </c>
      <c r="D173" s="33">
        <v>180</v>
      </c>
      <c r="E173" s="2">
        <v>61</v>
      </c>
      <c r="F173" s="2">
        <v>0.34</v>
      </c>
      <c r="G173" s="9" t="s">
        <v>236</v>
      </c>
      <c r="H173" s="27">
        <v>1</v>
      </c>
      <c r="I173" s="28">
        <v>50</v>
      </c>
      <c r="J173" s="38" t="s">
        <v>147</v>
      </c>
      <c r="K173" s="43">
        <v>50</v>
      </c>
      <c r="L173" s="9"/>
      <c r="M173" s="116"/>
      <c r="N173" s="117"/>
    </row>
    <row r="174" spans="1:14" ht="16.5" customHeight="1" x14ac:dyDescent="0.25">
      <c r="A174" s="111">
        <v>169</v>
      </c>
      <c r="B174" s="3" t="s">
        <v>0</v>
      </c>
      <c r="C174" s="4">
        <v>180</v>
      </c>
      <c r="D174" s="34">
        <v>3450</v>
      </c>
      <c r="E174" s="4">
        <v>1684</v>
      </c>
      <c r="F174" s="3">
        <v>0.49</v>
      </c>
      <c r="G174" s="8" t="s">
        <v>106</v>
      </c>
      <c r="H174" s="8"/>
      <c r="I174" s="29"/>
      <c r="J174" s="39"/>
      <c r="K174" s="43">
        <v>200</v>
      </c>
      <c r="L174" s="22" t="s">
        <v>217</v>
      </c>
      <c r="M174" s="116"/>
      <c r="N174" s="117"/>
    </row>
    <row r="175" spans="1:14" x14ac:dyDescent="0.25">
      <c r="A175" s="111">
        <v>170</v>
      </c>
      <c r="B175" s="13" t="s">
        <v>82</v>
      </c>
      <c r="C175" s="15">
        <v>180</v>
      </c>
      <c r="D175" s="36">
        <v>270</v>
      </c>
      <c r="E175" s="13">
        <v>11</v>
      </c>
      <c r="F175" s="13">
        <v>0.04</v>
      </c>
      <c r="G175" s="16" t="s">
        <v>133</v>
      </c>
      <c r="H175" s="16"/>
      <c r="I175" s="31"/>
      <c r="J175" s="41"/>
      <c r="K175" s="43"/>
      <c r="L175" s="26" t="s">
        <v>83</v>
      </c>
      <c r="M175" s="116"/>
      <c r="N175" s="117"/>
    </row>
    <row r="181" ht="15.75" customHeight="1" x14ac:dyDescent="0.25"/>
  </sheetData>
  <autoFilter ref="A3:L175">
    <sortState ref="A4:L47">
      <sortCondition ref="A3"/>
    </sortState>
  </autoFilter>
  <mergeCells count="16">
    <mergeCell ref="M150:M164"/>
    <mergeCell ref="N150:N164"/>
    <mergeCell ref="M165:M175"/>
    <mergeCell ref="N165:N175"/>
    <mergeCell ref="M73:M84"/>
    <mergeCell ref="N73:N84"/>
    <mergeCell ref="M85:M123"/>
    <mergeCell ref="N85:N123"/>
    <mergeCell ref="M124:M149"/>
    <mergeCell ref="N124:N149"/>
    <mergeCell ref="M4:M48"/>
    <mergeCell ref="N4:N48"/>
    <mergeCell ref="M49:M72"/>
    <mergeCell ref="N49:N72"/>
    <mergeCell ref="B72:J72"/>
    <mergeCell ref="B48:J48"/>
  </mergeCell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zoomScaleNormal="100" workbookViewId="0">
      <selection activeCell="I13" sqref="I13"/>
    </sheetView>
  </sheetViews>
  <sheetFormatPr defaultRowHeight="15" x14ac:dyDescent="0.25"/>
  <cols>
    <col min="1" max="1" width="1.42578125" customWidth="1"/>
    <col min="2" max="2" width="12.85546875" customWidth="1"/>
    <col min="3" max="3" width="14.5703125" customWidth="1"/>
    <col min="4" max="4" width="13.140625" customWidth="1"/>
    <col min="5" max="5" width="12.28515625" customWidth="1"/>
    <col min="6" max="6" width="12.42578125" customWidth="1"/>
    <col min="7" max="7" width="13.42578125" customWidth="1"/>
    <col min="8" max="8" width="2.7109375" customWidth="1"/>
    <col min="9" max="9" width="34" customWidth="1"/>
  </cols>
  <sheetData>
    <row r="2" spans="2:9" x14ac:dyDescent="0.25">
      <c r="C2" s="86" t="s">
        <v>250</v>
      </c>
      <c r="D2" s="116" t="s">
        <v>175</v>
      </c>
      <c r="E2" s="116"/>
      <c r="F2" s="116"/>
      <c r="G2" s="121" t="s">
        <v>177</v>
      </c>
    </row>
    <row r="3" spans="2:9" x14ac:dyDescent="0.25">
      <c r="B3" s="70" t="s">
        <v>172</v>
      </c>
      <c r="C3" s="84" t="s">
        <v>251</v>
      </c>
      <c r="D3" s="84" t="s">
        <v>168</v>
      </c>
      <c r="E3" s="84" t="s">
        <v>169</v>
      </c>
      <c r="F3" s="84" t="s">
        <v>170</v>
      </c>
      <c r="G3" s="121"/>
    </row>
    <row r="4" spans="2:9" x14ac:dyDescent="0.25">
      <c r="B4" s="122" t="s">
        <v>178</v>
      </c>
      <c r="C4" s="123"/>
      <c r="D4" s="123"/>
      <c r="E4" s="123"/>
      <c r="F4" s="124"/>
      <c r="G4" s="2"/>
    </row>
    <row r="5" spans="2:9" x14ac:dyDescent="0.25">
      <c r="B5" s="71" t="s">
        <v>179</v>
      </c>
      <c r="C5" s="62">
        <f>3104+50+10+1</f>
        <v>3165</v>
      </c>
      <c r="D5" s="62">
        <v>7534</v>
      </c>
      <c r="E5" s="62">
        <v>4369</v>
      </c>
      <c r="F5" s="62">
        <f>D5-E5</f>
        <v>3165</v>
      </c>
      <c r="G5" s="62">
        <f>C5-F5</f>
        <v>0</v>
      </c>
    </row>
    <row r="6" spans="2:9" x14ac:dyDescent="0.25">
      <c r="B6" s="71" t="s">
        <v>180</v>
      </c>
      <c r="C6" s="62">
        <f>50+43+1</f>
        <v>94</v>
      </c>
      <c r="D6" s="62">
        <v>2635</v>
      </c>
      <c r="E6" s="62">
        <v>2541</v>
      </c>
      <c r="F6" s="62">
        <f t="shared" ref="F6:F11" si="0">D6-E6</f>
        <v>94</v>
      </c>
      <c r="G6" s="62">
        <f t="shared" ref="G6:G11" si="1">C6-F6</f>
        <v>0</v>
      </c>
    </row>
    <row r="7" spans="2:9" x14ac:dyDescent="0.25">
      <c r="B7" s="71" t="s">
        <v>181</v>
      </c>
      <c r="C7" s="62">
        <f>115-50-1</f>
        <v>64</v>
      </c>
      <c r="D7" s="62">
        <v>1090</v>
      </c>
      <c r="E7" s="62">
        <v>1026</v>
      </c>
      <c r="F7" s="62">
        <f t="shared" si="0"/>
        <v>64</v>
      </c>
      <c r="G7" s="62">
        <f t="shared" si="1"/>
        <v>0</v>
      </c>
    </row>
    <row r="8" spans="2:9" x14ac:dyDescent="0.25">
      <c r="B8" s="71" t="s">
        <v>182</v>
      </c>
      <c r="C8" s="62">
        <f>418+45</f>
        <v>463</v>
      </c>
      <c r="D8" s="62">
        <v>3099</v>
      </c>
      <c r="E8" s="62">
        <v>2636</v>
      </c>
      <c r="F8" s="62">
        <f t="shared" si="0"/>
        <v>463</v>
      </c>
      <c r="G8" s="62">
        <f t="shared" si="1"/>
        <v>0</v>
      </c>
    </row>
    <row r="9" spans="2:9" x14ac:dyDescent="0.25">
      <c r="B9" s="71" t="s">
        <v>183</v>
      </c>
      <c r="C9" s="62">
        <f>530+41</f>
        <v>571</v>
      </c>
      <c r="D9" s="62">
        <v>3029</v>
      </c>
      <c r="E9" s="62">
        <v>2458</v>
      </c>
      <c r="F9" s="62">
        <f t="shared" si="0"/>
        <v>571</v>
      </c>
      <c r="G9" s="62">
        <f t="shared" si="1"/>
        <v>0</v>
      </c>
    </row>
    <row r="10" spans="2:9" x14ac:dyDescent="0.25">
      <c r="B10" s="71" t="s">
        <v>184</v>
      </c>
      <c r="C10" s="62">
        <v>0</v>
      </c>
      <c r="D10" s="62">
        <v>856</v>
      </c>
      <c r="E10" s="62">
        <v>966</v>
      </c>
      <c r="F10" s="62">
        <f t="shared" si="0"/>
        <v>-110</v>
      </c>
      <c r="G10" s="62">
        <f t="shared" si="1"/>
        <v>110</v>
      </c>
      <c r="I10" t="s">
        <v>265</v>
      </c>
    </row>
    <row r="11" spans="2:9" x14ac:dyDescent="0.25">
      <c r="B11" s="71" t="s">
        <v>185</v>
      </c>
      <c r="C11" s="62">
        <f>1395+60</f>
        <v>1455</v>
      </c>
      <c r="D11" s="62">
        <v>2662</v>
      </c>
      <c r="E11" s="62">
        <v>1207</v>
      </c>
      <c r="F11" s="62">
        <f t="shared" si="0"/>
        <v>1455</v>
      </c>
      <c r="G11" s="62">
        <f t="shared" si="1"/>
        <v>0</v>
      </c>
    </row>
    <row r="12" spans="2:9" x14ac:dyDescent="0.25">
      <c r="B12" s="70" t="s">
        <v>186</v>
      </c>
      <c r="C12" s="66">
        <f>SUM(C5:C11)</f>
        <v>5812</v>
      </c>
      <c r="D12" s="66">
        <f>SUM(D5:D11)</f>
        <v>20905</v>
      </c>
      <c r="E12" s="66">
        <f>SUM(E5:E11)</f>
        <v>15203</v>
      </c>
      <c r="F12" s="66">
        <f>SUM(F5:F11)</f>
        <v>5702</v>
      </c>
      <c r="G12" s="66">
        <f>C12-F12</f>
        <v>110</v>
      </c>
    </row>
    <row r="13" spans="2:9" x14ac:dyDescent="0.25">
      <c r="B13" s="122" t="s">
        <v>187</v>
      </c>
      <c r="C13" s="123"/>
      <c r="D13" s="123"/>
      <c r="E13" s="123"/>
      <c r="F13" s="124"/>
      <c r="G13" s="62"/>
    </row>
    <row r="14" spans="2:9" x14ac:dyDescent="0.25">
      <c r="B14" s="71" t="s">
        <v>179</v>
      </c>
      <c r="C14" s="62">
        <f>3420+20+90+10+6</f>
        <v>3546</v>
      </c>
      <c r="D14" s="62">
        <v>7213</v>
      </c>
      <c r="E14" s="62">
        <v>3667</v>
      </c>
      <c r="F14" s="62">
        <f>D14-E14</f>
        <v>3546</v>
      </c>
      <c r="G14" s="62">
        <f>C14-F14</f>
        <v>0</v>
      </c>
    </row>
    <row r="15" spans="2:9" x14ac:dyDescent="0.25">
      <c r="B15" s="71" t="s">
        <v>180</v>
      </c>
      <c r="C15" s="62">
        <f>400+29+24</f>
        <v>453</v>
      </c>
      <c r="D15" s="62">
        <v>2617</v>
      </c>
      <c r="E15" s="62">
        <v>2164</v>
      </c>
      <c r="F15" s="62">
        <f t="shared" ref="F15:F20" si="2">D15-E15</f>
        <v>453</v>
      </c>
      <c r="G15" s="62">
        <f t="shared" ref="G15:G21" si="3">C15-F15</f>
        <v>0</v>
      </c>
    </row>
    <row r="16" spans="2:9" x14ac:dyDescent="0.25">
      <c r="B16" s="71" t="s">
        <v>181</v>
      </c>
      <c r="C16" s="62">
        <f>160-50</f>
        <v>110</v>
      </c>
      <c r="D16" s="62">
        <v>1052</v>
      </c>
      <c r="E16" s="62">
        <v>942</v>
      </c>
      <c r="F16" s="62">
        <f t="shared" si="2"/>
        <v>110</v>
      </c>
      <c r="G16" s="62">
        <f t="shared" si="3"/>
        <v>0</v>
      </c>
    </row>
    <row r="17" spans="2:7" x14ac:dyDescent="0.25">
      <c r="B17" s="71" t="s">
        <v>182</v>
      </c>
      <c r="C17" s="62">
        <f>3+35</f>
        <v>38</v>
      </c>
      <c r="D17" s="62">
        <v>2350</v>
      </c>
      <c r="E17" s="62">
        <v>2312</v>
      </c>
      <c r="F17" s="62">
        <f t="shared" si="2"/>
        <v>38</v>
      </c>
      <c r="G17" s="62">
        <f t="shared" si="3"/>
        <v>0</v>
      </c>
    </row>
    <row r="18" spans="2:7" x14ac:dyDescent="0.25">
      <c r="B18" s="71" t="s">
        <v>183</v>
      </c>
      <c r="C18" s="62">
        <f>528+15</f>
        <v>543</v>
      </c>
      <c r="D18" s="62">
        <v>3076</v>
      </c>
      <c r="E18" s="62">
        <v>2533</v>
      </c>
      <c r="F18" s="62">
        <f t="shared" si="2"/>
        <v>543</v>
      </c>
      <c r="G18" s="62">
        <f t="shared" si="3"/>
        <v>0</v>
      </c>
    </row>
    <row r="19" spans="2:7" x14ac:dyDescent="0.25">
      <c r="B19" s="71" t="s">
        <v>184</v>
      </c>
      <c r="C19" s="62">
        <f>40</f>
        <v>40</v>
      </c>
      <c r="D19" s="62">
        <v>1050</v>
      </c>
      <c r="E19" s="62">
        <v>1010</v>
      </c>
      <c r="F19" s="62">
        <f t="shared" si="2"/>
        <v>40</v>
      </c>
      <c r="G19" s="62">
        <f t="shared" si="3"/>
        <v>0</v>
      </c>
    </row>
    <row r="20" spans="2:7" x14ac:dyDescent="0.25">
      <c r="B20" s="71" t="s">
        <v>185</v>
      </c>
      <c r="C20" s="62">
        <f>1383+75</f>
        <v>1458</v>
      </c>
      <c r="D20" s="62">
        <v>2603</v>
      </c>
      <c r="E20" s="62">
        <v>1145</v>
      </c>
      <c r="F20" s="62">
        <f t="shared" si="2"/>
        <v>1458</v>
      </c>
      <c r="G20" s="62">
        <f t="shared" si="3"/>
        <v>0</v>
      </c>
    </row>
    <row r="21" spans="2:7" x14ac:dyDescent="0.25">
      <c r="B21" s="70" t="s">
        <v>186</v>
      </c>
      <c r="C21" s="66">
        <f>SUM(C14:C20)</f>
        <v>6188</v>
      </c>
      <c r="D21" s="66">
        <f>SUM(D14:D20)</f>
        <v>19961</v>
      </c>
      <c r="E21" s="66">
        <f>SUM(E14:E20)</f>
        <v>13773</v>
      </c>
      <c r="F21" s="66">
        <f>SUM(F14:F20)</f>
        <v>6188</v>
      </c>
      <c r="G21" s="66">
        <f t="shared" si="3"/>
        <v>0</v>
      </c>
    </row>
  </sheetData>
  <mergeCells count="4">
    <mergeCell ref="D2:F2"/>
    <mergeCell ref="G2:G3"/>
    <mergeCell ref="B4:F4"/>
    <mergeCell ref="B13:F13"/>
  </mergeCells>
  <pageMargins left="0.7" right="0.7" top="0.75" bottom="0.75" header="0.3" footer="0.3"/>
  <pageSetup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7"/>
  <sheetViews>
    <sheetView topLeftCell="A4" zoomScaleNormal="100" workbookViewId="0">
      <selection activeCell="E22" sqref="E22"/>
    </sheetView>
  </sheetViews>
  <sheetFormatPr defaultRowHeight="15" x14ac:dyDescent="0.25"/>
  <cols>
    <col min="1" max="1" width="1.85546875" customWidth="1"/>
    <col min="2" max="2" width="13" customWidth="1"/>
    <col min="3" max="3" width="16" customWidth="1"/>
    <col min="4" max="5" width="11.42578125" customWidth="1"/>
    <col min="6" max="6" width="12.5703125" customWidth="1"/>
    <col min="7" max="7" width="12.7109375" customWidth="1"/>
    <col min="8" max="8" width="14.5703125" customWidth="1"/>
    <col min="9" max="9" width="17.7109375" customWidth="1"/>
    <col min="10" max="10" width="17.42578125" customWidth="1"/>
    <col min="11" max="11" width="19.140625" customWidth="1"/>
    <col min="12" max="13" width="9.140625" customWidth="1"/>
  </cols>
  <sheetData>
    <row r="1" spans="2:11" ht="10.5" customHeight="1" x14ac:dyDescent="0.25"/>
    <row r="2" spans="2:11" ht="26.25" x14ac:dyDescent="0.4">
      <c r="B2" s="125" t="s">
        <v>248</v>
      </c>
      <c r="C2" s="125"/>
      <c r="D2" s="125"/>
      <c r="E2" s="125"/>
      <c r="F2" s="125"/>
      <c r="G2" s="125"/>
      <c r="H2" s="125"/>
      <c r="I2" s="125"/>
    </row>
    <row r="3" spans="2:11" ht="15.75" x14ac:dyDescent="0.25">
      <c r="B3" s="47" t="s">
        <v>247</v>
      </c>
      <c r="C3" s="126" t="s">
        <v>168</v>
      </c>
      <c r="D3" s="126"/>
      <c r="E3" s="126"/>
      <c r="F3" s="48" t="s">
        <v>169</v>
      </c>
      <c r="G3" s="49" t="s">
        <v>170</v>
      </c>
      <c r="H3" s="80" t="s">
        <v>249</v>
      </c>
      <c r="I3" s="83" t="s">
        <v>249</v>
      </c>
      <c r="J3" s="83" t="s">
        <v>171</v>
      </c>
      <c r="K3" s="83" t="s">
        <v>190</v>
      </c>
    </row>
    <row r="4" spans="2:11" x14ac:dyDescent="0.25">
      <c r="B4" s="52" t="s">
        <v>172</v>
      </c>
      <c r="C4" s="53" t="s">
        <v>173</v>
      </c>
      <c r="D4" s="78" t="s">
        <v>174</v>
      </c>
      <c r="E4" s="78" t="s">
        <v>175</v>
      </c>
      <c r="F4" s="48" t="s">
        <v>175</v>
      </c>
      <c r="G4" s="49" t="s">
        <v>175</v>
      </c>
      <c r="H4" s="80" t="s">
        <v>176</v>
      </c>
      <c r="I4" s="51" t="s">
        <v>177</v>
      </c>
      <c r="J4" s="51" t="s">
        <v>177</v>
      </c>
      <c r="K4" s="51" t="s">
        <v>177</v>
      </c>
    </row>
    <row r="5" spans="2:11" x14ac:dyDescent="0.25">
      <c r="B5" s="55" t="s">
        <v>178</v>
      </c>
      <c r="C5" s="56"/>
      <c r="D5" s="56"/>
      <c r="E5" s="56"/>
      <c r="F5" s="56"/>
      <c r="G5" s="56"/>
      <c r="H5" s="56"/>
      <c r="I5" s="57"/>
      <c r="J5" s="2"/>
      <c r="K5" s="2"/>
    </row>
    <row r="6" spans="2:11" x14ac:dyDescent="0.25">
      <c r="B6" s="2" t="s">
        <v>179</v>
      </c>
      <c r="C6" s="58">
        <v>7500</v>
      </c>
      <c r="D6" s="58">
        <v>7534</v>
      </c>
      <c r="E6" s="59">
        <v>7534</v>
      </c>
      <c r="F6" s="60">
        <v>3319</v>
      </c>
      <c r="G6" s="61">
        <f>E6-F6</f>
        <v>4215</v>
      </c>
      <c r="H6" s="62">
        <f>3104+59+10+1</f>
        <v>3174</v>
      </c>
      <c r="I6" s="62">
        <f>G6-H6</f>
        <v>1041</v>
      </c>
      <c r="J6" s="62">
        <f>I28</f>
        <v>1041</v>
      </c>
      <c r="K6" s="62">
        <f>I50</f>
        <v>934</v>
      </c>
    </row>
    <row r="7" spans="2:11" x14ac:dyDescent="0.25">
      <c r="B7" s="2" t="s">
        <v>180</v>
      </c>
      <c r="C7" s="58">
        <v>2500</v>
      </c>
      <c r="D7" s="58">
        <v>2585</v>
      </c>
      <c r="E7" s="59">
        <v>2635</v>
      </c>
      <c r="F7" s="60">
        <v>2123</v>
      </c>
      <c r="G7" s="61">
        <f t="shared" ref="G7:G12" si="0">E7-F7</f>
        <v>512</v>
      </c>
      <c r="H7" s="62">
        <f>50+43+1</f>
        <v>94</v>
      </c>
      <c r="I7" s="62">
        <f t="shared" ref="I7:I12" si="1">G7-H7</f>
        <v>418</v>
      </c>
      <c r="J7" s="62">
        <f t="shared" ref="J7:J13" si="2">I29</f>
        <v>418</v>
      </c>
      <c r="K7" s="62">
        <f t="shared" ref="K7:K13" si="3">I51</f>
        <v>579</v>
      </c>
    </row>
    <row r="8" spans="2:11" x14ac:dyDescent="0.25">
      <c r="B8" s="2" t="s">
        <v>181</v>
      </c>
      <c r="C8" s="58">
        <v>1000</v>
      </c>
      <c r="D8" s="58">
        <v>1050</v>
      </c>
      <c r="E8" s="59">
        <v>1090</v>
      </c>
      <c r="F8" s="60">
        <v>802</v>
      </c>
      <c r="G8" s="61">
        <f t="shared" si="0"/>
        <v>288</v>
      </c>
      <c r="H8" s="62">
        <v>115</v>
      </c>
      <c r="I8" s="82">
        <f t="shared" si="1"/>
        <v>173</v>
      </c>
      <c r="J8" s="62">
        <f t="shared" si="2"/>
        <v>173</v>
      </c>
      <c r="K8" s="62">
        <f t="shared" si="3"/>
        <v>125</v>
      </c>
    </row>
    <row r="9" spans="2:11" x14ac:dyDescent="0.25">
      <c r="B9" s="2" t="s">
        <v>182</v>
      </c>
      <c r="C9" s="58">
        <v>3000</v>
      </c>
      <c r="D9" s="58">
        <v>3149</v>
      </c>
      <c r="E9" s="59">
        <v>3099</v>
      </c>
      <c r="F9" s="60">
        <v>2322</v>
      </c>
      <c r="G9" s="61">
        <f t="shared" si="0"/>
        <v>777</v>
      </c>
      <c r="H9" s="62">
        <f>418+50</f>
        <v>468</v>
      </c>
      <c r="I9" s="82">
        <f t="shared" si="1"/>
        <v>309</v>
      </c>
      <c r="J9" s="62">
        <f t="shared" si="2"/>
        <v>309</v>
      </c>
      <c r="K9" s="62">
        <f t="shared" si="3"/>
        <v>646</v>
      </c>
    </row>
    <row r="10" spans="2:11" x14ac:dyDescent="0.25">
      <c r="B10" s="2" t="s">
        <v>183</v>
      </c>
      <c r="C10" s="58">
        <v>3000</v>
      </c>
      <c r="D10" s="58">
        <v>3029</v>
      </c>
      <c r="E10" s="59">
        <v>3029</v>
      </c>
      <c r="F10" s="60">
        <v>2285</v>
      </c>
      <c r="G10" s="61">
        <f t="shared" si="0"/>
        <v>744</v>
      </c>
      <c r="H10" s="62">
        <f>530+41</f>
        <v>571</v>
      </c>
      <c r="I10" s="82">
        <f t="shared" si="1"/>
        <v>173</v>
      </c>
      <c r="J10" s="62">
        <f t="shared" si="2"/>
        <v>173</v>
      </c>
      <c r="K10" s="62">
        <f t="shared" si="3"/>
        <v>-158</v>
      </c>
    </row>
    <row r="11" spans="2:11" x14ac:dyDescent="0.25">
      <c r="B11" s="2" t="s">
        <v>184</v>
      </c>
      <c r="C11" s="58">
        <v>1000</v>
      </c>
      <c r="D11" s="58">
        <v>956</v>
      </c>
      <c r="E11" s="59">
        <v>856</v>
      </c>
      <c r="F11" s="60">
        <v>966</v>
      </c>
      <c r="G11" s="61">
        <f t="shared" si="0"/>
        <v>-110</v>
      </c>
      <c r="H11" s="62">
        <v>0</v>
      </c>
      <c r="I11" s="82">
        <f t="shared" si="1"/>
        <v>-110</v>
      </c>
      <c r="J11" s="62">
        <f t="shared" si="2"/>
        <v>-110</v>
      </c>
      <c r="K11" s="62">
        <f t="shared" si="3"/>
        <v>-110</v>
      </c>
    </row>
    <row r="12" spans="2:11" x14ac:dyDescent="0.25">
      <c r="B12" s="2" t="s">
        <v>185</v>
      </c>
      <c r="C12" s="58">
        <v>2500</v>
      </c>
      <c r="D12" s="58">
        <v>2622</v>
      </c>
      <c r="E12" s="59">
        <v>2662</v>
      </c>
      <c r="F12" s="60">
        <v>1003</v>
      </c>
      <c r="G12" s="61">
        <f t="shared" si="0"/>
        <v>1659</v>
      </c>
      <c r="H12" s="62">
        <f>1395+60</f>
        <v>1455</v>
      </c>
      <c r="I12" s="82">
        <f t="shared" si="1"/>
        <v>204</v>
      </c>
      <c r="J12" s="62">
        <f t="shared" si="2"/>
        <v>204</v>
      </c>
      <c r="K12" s="62">
        <f t="shared" si="3"/>
        <v>204</v>
      </c>
    </row>
    <row r="13" spans="2:11" ht="15.75" x14ac:dyDescent="0.25">
      <c r="B13" s="52" t="s">
        <v>186</v>
      </c>
      <c r="C13" s="63">
        <f t="shared" ref="C13:H13" si="4">SUM(C6:C12)</f>
        <v>20500</v>
      </c>
      <c r="D13" s="63">
        <f t="shared" si="4"/>
        <v>20925</v>
      </c>
      <c r="E13" s="63">
        <f t="shared" si="4"/>
        <v>20905</v>
      </c>
      <c r="F13" s="64">
        <f>SUM(F6:F12)</f>
        <v>12820</v>
      </c>
      <c r="G13" s="65">
        <f>SUM(G6:G12)</f>
        <v>8085</v>
      </c>
      <c r="H13" s="66">
        <f t="shared" si="4"/>
        <v>5877</v>
      </c>
      <c r="I13" s="67">
        <f>G13-H13</f>
        <v>2208</v>
      </c>
      <c r="J13" s="67">
        <f t="shared" si="2"/>
        <v>2208</v>
      </c>
      <c r="K13" s="67">
        <f t="shared" si="3"/>
        <v>2220</v>
      </c>
    </row>
    <row r="14" spans="2:11" x14ac:dyDescent="0.25">
      <c r="B14" s="55" t="s">
        <v>187</v>
      </c>
      <c r="C14" s="56"/>
      <c r="D14" s="56"/>
      <c r="E14" s="56"/>
      <c r="F14" s="56"/>
      <c r="G14" s="56"/>
      <c r="H14" s="68"/>
      <c r="I14" s="69"/>
      <c r="J14" s="2"/>
      <c r="K14" s="2"/>
    </row>
    <row r="15" spans="2:11" x14ac:dyDescent="0.25">
      <c r="B15" s="2" t="s">
        <v>179</v>
      </c>
      <c r="C15" s="58">
        <v>7500</v>
      </c>
      <c r="D15" s="58">
        <v>5263</v>
      </c>
      <c r="E15" s="59">
        <v>7213</v>
      </c>
      <c r="F15" s="60">
        <v>3259</v>
      </c>
      <c r="G15" s="61">
        <f>E15-F15</f>
        <v>3954</v>
      </c>
      <c r="H15" s="62">
        <f>3420+20+90+10+11</f>
        <v>3551</v>
      </c>
      <c r="I15" s="82">
        <f>G15-H15</f>
        <v>403</v>
      </c>
      <c r="J15" s="62">
        <f>I37</f>
        <v>403</v>
      </c>
      <c r="K15" s="62">
        <f>I59</f>
        <v>311</v>
      </c>
    </row>
    <row r="16" spans="2:11" x14ac:dyDescent="0.25">
      <c r="B16" s="2" t="s">
        <v>180</v>
      </c>
      <c r="C16" s="58">
        <v>2500</v>
      </c>
      <c r="D16" s="58">
        <v>2617</v>
      </c>
      <c r="E16" s="59">
        <v>2617</v>
      </c>
      <c r="F16" s="60">
        <v>1835</v>
      </c>
      <c r="G16" s="61">
        <f t="shared" ref="G16:G21" si="5">E16-F16</f>
        <v>782</v>
      </c>
      <c r="H16" s="62">
        <f>400+29+24</f>
        <v>453</v>
      </c>
      <c r="I16" s="82">
        <f t="shared" ref="I16:I21" si="6">G16-H16</f>
        <v>329</v>
      </c>
      <c r="J16" s="62">
        <f t="shared" ref="J16:J22" si="7">I38</f>
        <v>329</v>
      </c>
      <c r="K16" s="62">
        <f t="shared" ref="K16:K22" si="8">I60</f>
        <v>298</v>
      </c>
    </row>
    <row r="17" spans="2:11" x14ac:dyDescent="0.25">
      <c r="B17" s="2" t="s">
        <v>181</v>
      </c>
      <c r="C17" s="58">
        <v>1000</v>
      </c>
      <c r="D17" s="58">
        <v>1052</v>
      </c>
      <c r="E17" s="59">
        <v>1052</v>
      </c>
      <c r="F17" s="60">
        <v>772</v>
      </c>
      <c r="G17" s="61">
        <f t="shared" si="5"/>
        <v>280</v>
      </c>
      <c r="H17" s="62">
        <v>161</v>
      </c>
      <c r="I17" s="82">
        <f t="shared" si="6"/>
        <v>119</v>
      </c>
      <c r="J17" s="62">
        <f t="shared" si="7"/>
        <v>119</v>
      </c>
      <c r="K17" s="62">
        <f t="shared" si="8"/>
        <v>166</v>
      </c>
    </row>
    <row r="18" spans="2:11" x14ac:dyDescent="0.25">
      <c r="B18" s="2" t="s">
        <v>182</v>
      </c>
      <c r="C18" s="58">
        <v>3000</v>
      </c>
      <c r="D18" s="58">
        <v>400</v>
      </c>
      <c r="E18" s="59">
        <v>2350</v>
      </c>
      <c r="F18" s="60">
        <v>2027</v>
      </c>
      <c r="G18" s="61">
        <f t="shared" si="5"/>
        <v>323</v>
      </c>
      <c r="H18" s="62">
        <f>3+40</f>
        <v>43</v>
      </c>
      <c r="I18" s="82">
        <f t="shared" si="6"/>
        <v>280</v>
      </c>
      <c r="J18" s="62">
        <f t="shared" si="7"/>
        <v>280</v>
      </c>
      <c r="K18" s="62">
        <f t="shared" si="8"/>
        <v>279</v>
      </c>
    </row>
    <row r="19" spans="2:11" x14ac:dyDescent="0.25">
      <c r="B19" s="2" t="s">
        <v>183</v>
      </c>
      <c r="C19" s="58">
        <v>3000</v>
      </c>
      <c r="D19" s="58">
        <v>3076</v>
      </c>
      <c r="E19" s="59">
        <v>3076</v>
      </c>
      <c r="F19" s="60">
        <v>2171</v>
      </c>
      <c r="G19" s="61">
        <f t="shared" si="5"/>
        <v>905</v>
      </c>
      <c r="H19" s="62">
        <f>528+15</f>
        <v>543</v>
      </c>
      <c r="I19" s="82">
        <f t="shared" si="6"/>
        <v>362</v>
      </c>
      <c r="J19" s="62">
        <f t="shared" si="7"/>
        <v>362</v>
      </c>
      <c r="K19" s="62">
        <f t="shared" si="8"/>
        <v>663</v>
      </c>
    </row>
    <row r="20" spans="2:11" x14ac:dyDescent="0.25">
      <c r="B20" s="2" t="s">
        <v>184</v>
      </c>
      <c r="C20" s="58">
        <v>1000</v>
      </c>
      <c r="D20" s="58">
        <v>1050</v>
      </c>
      <c r="E20" s="59">
        <v>1050</v>
      </c>
      <c r="F20" s="60">
        <v>946</v>
      </c>
      <c r="G20" s="61">
        <f t="shared" si="5"/>
        <v>104</v>
      </c>
      <c r="H20" s="62">
        <f>40</f>
        <v>40</v>
      </c>
      <c r="I20" s="82">
        <f t="shared" si="6"/>
        <v>64</v>
      </c>
      <c r="J20" s="62">
        <f t="shared" si="7"/>
        <v>64</v>
      </c>
      <c r="K20" s="62">
        <f t="shared" si="8"/>
        <v>64</v>
      </c>
    </row>
    <row r="21" spans="2:11" x14ac:dyDescent="0.25">
      <c r="B21" s="2" t="s">
        <v>185</v>
      </c>
      <c r="C21" s="58">
        <v>2500</v>
      </c>
      <c r="D21" s="58">
        <v>2603</v>
      </c>
      <c r="E21" s="59">
        <v>2603</v>
      </c>
      <c r="F21" s="60">
        <v>918</v>
      </c>
      <c r="G21" s="61">
        <f t="shared" si="5"/>
        <v>1685</v>
      </c>
      <c r="H21" s="62">
        <f>1383+75</f>
        <v>1458</v>
      </c>
      <c r="I21" s="82">
        <f t="shared" si="6"/>
        <v>227</v>
      </c>
      <c r="J21" s="62">
        <f t="shared" si="7"/>
        <v>227</v>
      </c>
      <c r="K21" s="62">
        <f t="shared" si="8"/>
        <v>227</v>
      </c>
    </row>
    <row r="22" spans="2:11" ht="15.75" x14ac:dyDescent="0.25">
      <c r="B22" s="52" t="s">
        <v>186</v>
      </c>
      <c r="C22" s="63">
        <f t="shared" ref="C22:I22" si="9">SUM(C15:C21)</f>
        <v>20500</v>
      </c>
      <c r="D22" s="63">
        <f t="shared" si="9"/>
        <v>16061</v>
      </c>
      <c r="E22" s="63">
        <f t="shared" si="9"/>
        <v>19961</v>
      </c>
      <c r="F22" s="64">
        <f>SUM(F15:F21)</f>
        <v>11928</v>
      </c>
      <c r="G22" s="65">
        <f>SUM(G15:G21)</f>
        <v>8033</v>
      </c>
      <c r="H22" s="66">
        <f t="shared" si="9"/>
        <v>6249</v>
      </c>
      <c r="I22" s="67">
        <f t="shared" si="9"/>
        <v>1784</v>
      </c>
      <c r="J22" s="67">
        <f t="shared" si="7"/>
        <v>1784</v>
      </c>
      <c r="K22" s="67">
        <f t="shared" si="8"/>
        <v>2008</v>
      </c>
    </row>
    <row r="24" spans="2:11" ht="24.75" customHeight="1" x14ac:dyDescent="0.4">
      <c r="B24" s="125" t="s">
        <v>166</v>
      </c>
      <c r="C24" s="125"/>
      <c r="D24" s="125"/>
      <c r="E24" s="125"/>
      <c r="F24" s="125"/>
      <c r="G24" s="125"/>
      <c r="H24" s="125"/>
      <c r="I24" s="125"/>
    </row>
    <row r="25" spans="2:11" x14ac:dyDescent="0.25">
      <c r="B25" s="47" t="s">
        <v>167</v>
      </c>
      <c r="C25" s="126" t="s">
        <v>168</v>
      </c>
      <c r="D25" s="126"/>
      <c r="E25" s="126"/>
      <c r="F25" s="48" t="s">
        <v>169</v>
      </c>
      <c r="G25" s="49" t="s">
        <v>170</v>
      </c>
      <c r="H25" s="50" t="s">
        <v>171</v>
      </c>
      <c r="I25" s="51" t="s">
        <v>171</v>
      </c>
    </row>
    <row r="26" spans="2:11" x14ac:dyDescent="0.25">
      <c r="B26" s="52" t="s">
        <v>172</v>
      </c>
      <c r="C26" s="53" t="s">
        <v>173</v>
      </c>
      <c r="D26" s="54" t="s">
        <v>174</v>
      </c>
      <c r="E26" s="54" t="s">
        <v>175</v>
      </c>
      <c r="F26" s="48" t="s">
        <v>175</v>
      </c>
      <c r="G26" s="49" t="s">
        <v>175</v>
      </c>
      <c r="H26" s="50" t="s">
        <v>176</v>
      </c>
      <c r="I26" s="51" t="s">
        <v>177</v>
      </c>
    </row>
    <row r="27" spans="2:11" x14ac:dyDescent="0.25">
      <c r="B27" s="55" t="s">
        <v>178</v>
      </c>
      <c r="C27" s="56"/>
      <c r="D27" s="56"/>
      <c r="E27" s="56"/>
      <c r="F27" s="56"/>
      <c r="G27" s="56"/>
      <c r="H27" s="56"/>
      <c r="I27" s="57"/>
    </row>
    <row r="28" spans="2:11" x14ac:dyDescent="0.25">
      <c r="B28" s="2" t="s">
        <v>179</v>
      </c>
      <c r="C28" s="58">
        <v>7500</v>
      </c>
      <c r="D28" s="58">
        <v>7534</v>
      </c>
      <c r="E28" s="59">
        <v>7534</v>
      </c>
      <c r="F28" s="60">
        <v>3296</v>
      </c>
      <c r="G28" s="61">
        <f>E28-F28</f>
        <v>4238</v>
      </c>
      <c r="H28" s="62">
        <f>3034+65+16+50+24+8</f>
        <v>3197</v>
      </c>
      <c r="I28" s="62">
        <f>G28-H28</f>
        <v>1041</v>
      </c>
    </row>
    <row r="29" spans="2:11" x14ac:dyDescent="0.25">
      <c r="B29" s="2" t="s">
        <v>180</v>
      </c>
      <c r="C29" s="58">
        <v>2500</v>
      </c>
      <c r="D29" s="58">
        <v>2585</v>
      </c>
      <c r="E29" s="59">
        <v>2635</v>
      </c>
      <c r="F29" s="60">
        <v>1907</v>
      </c>
      <c r="G29" s="61">
        <f t="shared" ref="G29:G34" si="10">E29-F29</f>
        <v>728</v>
      </c>
      <c r="H29" s="62">
        <f>250+20+22+18</f>
        <v>310</v>
      </c>
      <c r="I29" s="62">
        <f t="shared" ref="I29:I34" si="11">G29-H29</f>
        <v>418</v>
      </c>
    </row>
    <row r="30" spans="2:11" x14ac:dyDescent="0.25">
      <c r="B30" s="2" t="s">
        <v>181</v>
      </c>
      <c r="C30" s="58">
        <v>1000</v>
      </c>
      <c r="D30" s="58">
        <v>1050</v>
      </c>
      <c r="E30" s="59">
        <v>1090</v>
      </c>
      <c r="F30" s="60">
        <v>802</v>
      </c>
      <c r="G30" s="61">
        <f t="shared" si="10"/>
        <v>288</v>
      </c>
      <c r="H30" s="62">
        <f>17+98</f>
        <v>115</v>
      </c>
      <c r="I30" s="82">
        <f t="shared" si="11"/>
        <v>173</v>
      </c>
    </row>
    <row r="31" spans="2:11" x14ac:dyDescent="0.25">
      <c r="B31" s="2" t="s">
        <v>182</v>
      </c>
      <c r="C31" s="58">
        <v>3000</v>
      </c>
      <c r="D31" s="58">
        <v>3149</v>
      </c>
      <c r="E31" s="59">
        <v>3099</v>
      </c>
      <c r="F31" s="60">
        <v>2297</v>
      </c>
      <c r="G31" s="61">
        <f t="shared" si="10"/>
        <v>802</v>
      </c>
      <c r="H31" s="62">
        <f>439+54</f>
        <v>493</v>
      </c>
      <c r="I31" s="82">
        <f t="shared" si="11"/>
        <v>309</v>
      </c>
    </row>
    <row r="32" spans="2:11" x14ac:dyDescent="0.25">
      <c r="B32" s="2" t="s">
        <v>183</v>
      </c>
      <c r="C32" s="58">
        <v>3000</v>
      </c>
      <c r="D32" s="58">
        <v>3029</v>
      </c>
      <c r="E32" s="59">
        <v>3029</v>
      </c>
      <c r="F32" s="60">
        <v>2235</v>
      </c>
      <c r="G32" s="61">
        <f t="shared" si="10"/>
        <v>794</v>
      </c>
      <c r="H32" s="62">
        <f>515+56+50</f>
        <v>621</v>
      </c>
      <c r="I32" s="82">
        <f t="shared" si="11"/>
        <v>173</v>
      </c>
    </row>
    <row r="33" spans="2:9" x14ac:dyDescent="0.25">
      <c r="B33" s="2" t="s">
        <v>184</v>
      </c>
      <c r="C33" s="58">
        <v>1000</v>
      </c>
      <c r="D33" s="58">
        <v>956</v>
      </c>
      <c r="E33" s="59">
        <v>856</v>
      </c>
      <c r="F33" s="60">
        <v>966</v>
      </c>
      <c r="G33" s="61">
        <f t="shared" si="10"/>
        <v>-110</v>
      </c>
      <c r="H33" s="62">
        <v>0</v>
      </c>
      <c r="I33" s="82">
        <f t="shared" si="11"/>
        <v>-110</v>
      </c>
    </row>
    <row r="34" spans="2:9" x14ac:dyDescent="0.25">
      <c r="B34" s="2" t="s">
        <v>185</v>
      </c>
      <c r="C34" s="58">
        <v>2500</v>
      </c>
      <c r="D34" s="58">
        <v>2622</v>
      </c>
      <c r="E34" s="59">
        <v>2662</v>
      </c>
      <c r="F34" s="60">
        <v>1003</v>
      </c>
      <c r="G34" s="61">
        <f t="shared" si="10"/>
        <v>1659</v>
      </c>
      <c r="H34" s="62">
        <f>1395+60</f>
        <v>1455</v>
      </c>
      <c r="I34" s="82">
        <f t="shared" si="11"/>
        <v>204</v>
      </c>
    </row>
    <row r="35" spans="2:9" ht="15.75" x14ac:dyDescent="0.25">
      <c r="B35" s="52" t="s">
        <v>186</v>
      </c>
      <c r="C35" s="63">
        <f t="shared" ref="C35:H35" si="12">SUM(C28:C34)</f>
        <v>20500</v>
      </c>
      <c r="D35" s="63">
        <f t="shared" si="12"/>
        <v>20925</v>
      </c>
      <c r="E35" s="63">
        <f t="shared" si="12"/>
        <v>20905</v>
      </c>
      <c r="F35" s="64">
        <f t="shared" si="12"/>
        <v>12506</v>
      </c>
      <c r="G35" s="65">
        <f t="shared" si="12"/>
        <v>8399</v>
      </c>
      <c r="H35" s="66">
        <f t="shared" si="12"/>
        <v>6191</v>
      </c>
      <c r="I35" s="67">
        <f>G35-H35</f>
        <v>2208</v>
      </c>
    </row>
    <row r="36" spans="2:9" x14ac:dyDescent="0.25">
      <c r="B36" s="55" t="s">
        <v>187</v>
      </c>
      <c r="C36" s="56"/>
      <c r="D36" s="56"/>
      <c r="E36" s="56"/>
      <c r="F36" s="56"/>
      <c r="G36" s="56"/>
      <c r="H36" s="68"/>
      <c r="I36" s="69"/>
    </row>
    <row r="37" spans="2:9" x14ac:dyDescent="0.25">
      <c r="B37" s="2" t="s">
        <v>179</v>
      </c>
      <c r="C37" s="58">
        <v>7500</v>
      </c>
      <c r="D37" s="58">
        <v>5263</v>
      </c>
      <c r="E37" s="59">
        <v>7213</v>
      </c>
      <c r="F37" s="60">
        <v>3242</v>
      </c>
      <c r="G37" s="61">
        <f>E37-F37</f>
        <v>3971</v>
      </c>
      <c r="H37" s="62">
        <f>3420+61+3+28+6+50</f>
        <v>3568</v>
      </c>
      <c r="I37" s="62">
        <f>G37-H37</f>
        <v>403</v>
      </c>
    </row>
    <row r="38" spans="2:9" x14ac:dyDescent="0.25">
      <c r="B38" s="2" t="s">
        <v>180</v>
      </c>
      <c r="C38" s="58">
        <v>2500</v>
      </c>
      <c r="D38" s="58">
        <v>2617</v>
      </c>
      <c r="E38" s="59">
        <v>2617</v>
      </c>
      <c r="F38" s="60">
        <v>1821</v>
      </c>
      <c r="G38" s="61">
        <f t="shared" ref="G38:G43" si="13">E38-F38</f>
        <v>796</v>
      </c>
      <c r="H38" s="62">
        <f>400+20+32+15</f>
        <v>467</v>
      </c>
      <c r="I38" s="62">
        <f t="shared" ref="I38:I43" si="14">G38-H38</f>
        <v>329</v>
      </c>
    </row>
    <row r="39" spans="2:9" x14ac:dyDescent="0.25">
      <c r="B39" s="2" t="s">
        <v>181</v>
      </c>
      <c r="C39" s="58">
        <v>1000</v>
      </c>
      <c r="D39" s="58">
        <v>1052</v>
      </c>
      <c r="E39" s="59">
        <v>1052</v>
      </c>
      <c r="F39" s="60">
        <v>772</v>
      </c>
      <c r="G39" s="61">
        <f t="shared" si="13"/>
        <v>280</v>
      </c>
      <c r="H39" s="62">
        <f>60+101</f>
        <v>161</v>
      </c>
      <c r="I39" s="62">
        <f t="shared" si="14"/>
        <v>119</v>
      </c>
    </row>
    <row r="40" spans="2:9" x14ac:dyDescent="0.25">
      <c r="B40" s="2" t="s">
        <v>182</v>
      </c>
      <c r="C40" s="58">
        <v>3000</v>
      </c>
      <c r="D40" s="58">
        <v>400</v>
      </c>
      <c r="E40" s="59">
        <v>2350</v>
      </c>
      <c r="F40" s="60">
        <v>2007</v>
      </c>
      <c r="G40" s="61">
        <f t="shared" si="13"/>
        <v>343</v>
      </c>
      <c r="H40" s="62">
        <f>4+59</f>
        <v>63</v>
      </c>
      <c r="I40" s="82">
        <f t="shared" si="14"/>
        <v>280</v>
      </c>
    </row>
    <row r="41" spans="2:9" x14ac:dyDescent="0.25">
      <c r="B41" s="2" t="s">
        <v>183</v>
      </c>
      <c r="C41" s="58">
        <v>3000</v>
      </c>
      <c r="D41" s="58">
        <v>3076</v>
      </c>
      <c r="E41" s="59">
        <v>3076</v>
      </c>
      <c r="F41" s="60">
        <v>2121</v>
      </c>
      <c r="G41" s="61">
        <f t="shared" si="13"/>
        <v>955</v>
      </c>
      <c r="H41" s="62">
        <f>528+65</f>
        <v>593</v>
      </c>
      <c r="I41" s="82">
        <f t="shared" si="14"/>
        <v>362</v>
      </c>
    </row>
    <row r="42" spans="2:9" x14ac:dyDescent="0.25">
      <c r="B42" s="2" t="s">
        <v>184</v>
      </c>
      <c r="C42" s="58">
        <v>1000</v>
      </c>
      <c r="D42" s="58">
        <v>1050</v>
      </c>
      <c r="E42" s="59">
        <v>1050</v>
      </c>
      <c r="F42" s="60">
        <v>946</v>
      </c>
      <c r="G42" s="61">
        <f t="shared" si="13"/>
        <v>104</v>
      </c>
      <c r="H42" s="62">
        <f>40</f>
        <v>40</v>
      </c>
      <c r="I42" s="82">
        <f t="shared" si="14"/>
        <v>64</v>
      </c>
    </row>
    <row r="43" spans="2:9" x14ac:dyDescent="0.25">
      <c r="B43" s="2" t="s">
        <v>185</v>
      </c>
      <c r="C43" s="58">
        <v>2500</v>
      </c>
      <c r="D43" s="58">
        <v>2603</v>
      </c>
      <c r="E43" s="59">
        <v>2603</v>
      </c>
      <c r="F43" s="60">
        <v>918</v>
      </c>
      <c r="G43" s="61">
        <f t="shared" si="13"/>
        <v>1685</v>
      </c>
      <c r="H43" s="62">
        <f>1383+75</f>
        <v>1458</v>
      </c>
      <c r="I43" s="82">
        <f t="shared" si="14"/>
        <v>227</v>
      </c>
    </row>
    <row r="44" spans="2:9" ht="15.75" x14ac:dyDescent="0.25">
      <c r="B44" s="52" t="s">
        <v>186</v>
      </c>
      <c r="C44" s="63">
        <f t="shared" ref="C44:I44" si="15">SUM(C37:C43)</f>
        <v>20500</v>
      </c>
      <c r="D44" s="63">
        <f t="shared" si="15"/>
        <v>16061</v>
      </c>
      <c r="E44" s="63">
        <f t="shared" si="15"/>
        <v>19961</v>
      </c>
      <c r="F44" s="64">
        <f t="shared" si="15"/>
        <v>11827</v>
      </c>
      <c r="G44" s="65">
        <f t="shared" si="15"/>
        <v>8134</v>
      </c>
      <c r="H44" s="66">
        <f t="shared" si="15"/>
        <v>6350</v>
      </c>
      <c r="I44" s="67">
        <f t="shared" si="15"/>
        <v>1784</v>
      </c>
    </row>
    <row r="46" spans="2:9" ht="26.25" x14ac:dyDescent="0.4">
      <c r="B46" s="125" t="s">
        <v>188</v>
      </c>
      <c r="C46" s="125"/>
      <c r="D46" s="125"/>
      <c r="E46" s="125"/>
      <c r="F46" s="125"/>
      <c r="G46" s="125"/>
      <c r="H46" s="125"/>
      <c r="I46" s="125"/>
    </row>
    <row r="47" spans="2:9" x14ac:dyDescent="0.25">
      <c r="B47" s="47" t="s">
        <v>189</v>
      </c>
      <c r="C47" s="126" t="s">
        <v>168</v>
      </c>
      <c r="D47" s="126"/>
      <c r="E47" s="126"/>
      <c r="F47" s="48" t="s">
        <v>169</v>
      </c>
      <c r="G47" s="49" t="s">
        <v>170</v>
      </c>
      <c r="H47" s="50" t="s">
        <v>190</v>
      </c>
      <c r="I47" s="51" t="s">
        <v>190</v>
      </c>
    </row>
    <row r="48" spans="2:9" x14ac:dyDescent="0.25">
      <c r="B48" s="52" t="s">
        <v>172</v>
      </c>
      <c r="C48" s="53" t="s">
        <v>173</v>
      </c>
      <c r="D48" s="54" t="s">
        <v>174</v>
      </c>
      <c r="E48" s="54" t="s">
        <v>175</v>
      </c>
      <c r="F48" s="48" t="s">
        <v>175</v>
      </c>
      <c r="G48" s="49" t="s">
        <v>175</v>
      </c>
      <c r="H48" s="50" t="s">
        <v>176</v>
      </c>
      <c r="I48" s="51" t="s">
        <v>177</v>
      </c>
    </row>
    <row r="49" spans="2:9" x14ac:dyDescent="0.25">
      <c r="B49" s="55" t="s">
        <v>178</v>
      </c>
      <c r="C49" s="56"/>
      <c r="D49" s="56"/>
      <c r="E49" s="56"/>
      <c r="F49" s="56"/>
      <c r="G49" s="56"/>
      <c r="H49" s="56"/>
      <c r="I49" s="57"/>
    </row>
    <row r="50" spans="2:9" x14ac:dyDescent="0.25">
      <c r="B50" s="2" t="s">
        <v>179</v>
      </c>
      <c r="C50" s="58">
        <v>7500</v>
      </c>
      <c r="D50" s="58">
        <v>7534</v>
      </c>
      <c r="E50" s="59">
        <v>7534</v>
      </c>
      <c r="F50" s="60">
        <v>3161</v>
      </c>
      <c r="G50" s="61">
        <f>E50-F50</f>
        <v>4373</v>
      </c>
      <c r="H50" s="62">
        <f>3250+94+45+50</f>
        <v>3439</v>
      </c>
      <c r="I50" s="62">
        <f>G50-H50</f>
        <v>934</v>
      </c>
    </row>
    <row r="51" spans="2:9" x14ac:dyDescent="0.25">
      <c r="B51" s="2" t="s">
        <v>180</v>
      </c>
      <c r="C51" s="58">
        <v>2500</v>
      </c>
      <c r="D51" s="58">
        <v>2585</v>
      </c>
      <c r="E51" s="59">
        <v>2635</v>
      </c>
      <c r="F51" s="60">
        <v>1883</v>
      </c>
      <c r="G51" s="61">
        <f t="shared" ref="G51:G56" si="16">E51-F51</f>
        <v>752</v>
      </c>
      <c r="H51" s="62">
        <f>75+48+50</f>
        <v>173</v>
      </c>
      <c r="I51" s="62">
        <f t="shared" ref="I51:I56" si="17">G51-H51</f>
        <v>579</v>
      </c>
    </row>
    <row r="52" spans="2:9" x14ac:dyDescent="0.25">
      <c r="B52" s="2" t="s">
        <v>181</v>
      </c>
      <c r="C52" s="58">
        <v>1000</v>
      </c>
      <c r="D52" s="58">
        <v>1050</v>
      </c>
      <c r="E52" s="59">
        <v>1090</v>
      </c>
      <c r="F52" s="60">
        <v>775</v>
      </c>
      <c r="G52" s="61">
        <f t="shared" si="16"/>
        <v>315</v>
      </c>
      <c r="H52" s="62">
        <f>91+50+49</f>
        <v>190</v>
      </c>
      <c r="I52" s="62">
        <f t="shared" si="17"/>
        <v>125</v>
      </c>
    </row>
    <row r="53" spans="2:9" x14ac:dyDescent="0.25">
      <c r="B53" s="2" t="s">
        <v>182</v>
      </c>
      <c r="C53" s="58">
        <v>3000</v>
      </c>
      <c r="D53" s="58">
        <v>3149</v>
      </c>
      <c r="E53" s="59">
        <v>3099</v>
      </c>
      <c r="F53" s="60">
        <v>2297</v>
      </c>
      <c r="G53" s="61">
        <f t="shared" si="16"/>
        <v>802</v>
      </c>
      <c r="H53" s="62">
        <f>102+50+4</f>
        <v>156</v>
      </c>
      <c r="I53" s="62">
        <f t="shared" si="17"/>
        <v>646</v>
      </c>
    </row>
    <row r="54" spans="2:9" x14ac:dyDescent="0.25">
      <c r="B54" s="2" t="s">
        <v>183</v>
      </c>
      <c r="C54" s="58">
        <v>3000</v>
      </c>
      <c r="D54" s="58">
        <v>3029</v>
      </c>
      <c r="E54" s="59">
        <v>3029</v>
      </c>
      <c r="F54" s="60">
        <v>2200</v>
      </c>
      <c r="G54" s="61">
        <f t="shared" si="16"/>
        <v>829</v>
      </c>
      <c r="H54" s="62">
        <f>920+50+17</f>
        <v>987</v>
      </c>
      <c r="I54" s="62">
        <f t="shared" si="17"/>
        <v>-158</v>
      </c>
    </row>
    <row r="55" spans="2:9" x14ac:dyDescent="0.25">
      <c r="B55" s="2" t="s">
        <v>184</v>
      </c>
      <c r="C55" s="58">
        <v>1000</v>
      </c>
      <c r="D55" s="58">
        <v>956</v>
      </c>
      <c r="E55" s="59">
        <v>856</v>
      </c>
      <c r="F55" s="60">
        <v>966</v>
      </c>
      <c r="G55" s="61">
        <f t="shared" si="16"/>
        <v>-110</v>
      </c>
      <c r="H55" s="62">
        <v>0</v>
      </c>
      <c r="I55" s="62">
        <f t="shared" si="17"/>
        <v>-110</v>
      </c>
    </row>
    <row r="56" spans="2:9" x14ac:dyDescent="0.25">
      <c r="B56" s="2" t="s">
        <v>185</v>
      </c>
      <c r="C56" s="58">
        <v>2500</v>
      </c>
      <c r="D56" s="58">
        <v>2622</v>
      </c>
      <c r="E56" s="59">
        <v>2662</v>
      </c>
      <c r="F56" s="60">
        <v>1003</v>
      </c>
      <c r="G56" s="61">
        <f t="shared" si="16"/>
        <v>1659</v>
      </c>
      <c r="H56" s="62">
        <f>1395+50+10</f>
        <v>1455</v>
      </c>
      <c r="I56" s="62">
        <f t="shared" si="17"/>
        <v>204</v>
      </c>
    </row>
    <row r="57" spans="2:9" ht="15.75" x14ac:dyDescent="0.25">
      <c r="B57" s="52" t="s">
        <v>186</v>
      </c>
      <c r="C57" s="63">
        <f>SUM(C50:C56)</f>
        <v>20500</v>
      </c>
      <c r="D57" s="63">
        <f>SUM(D50:D56)</f>
        <v>20925</v>
      </c>
      <c r="E57" s="63">
        <f>SUM(E50:E56)</f>
        <v>20905</v>
      </c>
      <c r="F57" s="64">
        <f>SUM(F50:F56)</f>
        <v>12285</v>
      </c>
      <c r="G57" s="65">
        <f>E57-F57</f>
        <v>8620</v>
      </c>
      <c r="H57" s="66">
        <f>SUM(H50:H56)</f>
        <v>6400</v>
      </c>
      <c r="I57" s="67">
        <f>SUM(I50:I56)</f>
        <v>2220</v>
      </c>
    </row>
    <row r="58" spans="2:9" x14ac:dyDescent="0.25">
      <c r="B58" s="55" t="s">
        <v>187</v>
      </c>
      <c r="C58" s="56"/>
      <c r="D58" s="56"/>
      <c r="E58" s="56"/>
      <c r="F58" s="56"/>
      <c r="G58" s="56"/>
      <c r="H58" s="68"/>
      <c r="I58" s="69"/>
    </row>
    <row r="59" spans="2:9" x14ac:dyDescent="0.25">
      <c r="B59" s="2" t="s">
        <v>179</v>
      </c>
      <c r="C59" s="58">
        <v>7500</v>
      </c>
      <c r="D59" s="58">
        <v>5263</v>
      </c>
      <c r="E59" s="59">
        <v>7213</v>
      </c>
      <c r="F59" s="60">
        <v>3092</v>
      </c>
      <c r="G59" s="61">
        <f>E59-F59</f>
        <v>4121</v>
      </c>
      <c r="H59" s="62">
        <f>3683+94+33</f>
        <v>3810</v>
      </c>
      <c r="I59" s="62">
        <f>G59-H59</f>
        <v>311</v>
      </c>
    </row>
    <row r="60" spans="2:9" x14ac:dyDescent="0.25">
      <c r="B60" s="2" t="s">
        <v>180</v>
      </c>
      <c r="C60" s="58">
        <v>2500</v>
      </c>
      <c r="D60" s="58">
        <v>2617</v>
      </c>
      <c r="E60" s="59">
        <v>2617</v>
      </c>
      <c r="F60" s="60">
        <v>1797</v>
      </c>
      <c r="G60" s="61">
        <f t="shared" ref="G60:G66" si="18">E60-F60</f>
        <v>820</v>
      </c>
      <c r="H60" s="62">
        <f>420+52+50</f>
        <v>522</v>
      </c>
      <c r="I60" s="62">
        <f t="shared" ref="I60:I65" si="19">G60-H60</f>
        <v>298</v>
      </c>
    </row>
    <row r="61" spans="2:9" x14ac:dyDescent="0.25">
      <c r="B61" s="2" t="s">
        <v>181</v>
      </c>
      <c r="C61" s="58">
        <v>1000</v>
      </c>
      <c r="D61" s="58">
        <v>1052</v>
      </c>
      <c r="E61" s="59">
        <v>1052</v>
      </c>
      <c r="F61" s="60">
        <v>765</v>
      </c>
      <c r="G61" s="61">
        <f t="shared" si="18"/>
        <v>287</v>
      </c>
      <c r="H61" s="62">
        <f>21+100</f>
        <v>121</v>
      </c>
      <c r="I61" s="62">
        <f t="shared" si="19"/>
        <v>166</v>
      </c>
    </row>
    <row r="62" spans="2:9" x14ac:dyDescent="0.25">
      <c r="B62" s="2" t="s">
        <v>182</v>
      </c>
      <c r="C62" s="58">
        <v>3000</v>
      </c>
      <c r="D62" s="58">
        <v>400</v>
      </c>
      <c r="E62" s="59">
        <v>2350</v>
      </c>
      <c r="F62" s="60">
        <v>2007</v>
      </c>
      <c r="G62" s="61">
        <f t="shared" si="18"/>
        <v>343</v>
      </c>
      <c r="H62" s="62">
        <f>4+50+10</f>
        <v>64</v>
      </c>
      <c r="I62" s="62">
        <f t="shared" si="19"/>
        <v>279</v>
      </c>
    </row>
    <row r="63" spans="2:9" x14ac:dyDescent="0.25">
      <c r="B63" s="2" t="s">
        <v>183</v>
      </c>
      <c r="C63" s="58">
        <v>3000</v>
      </c>
      <c r="D63" s="58">
        <v>3076</v>
      </c>
      <c r="E63" s="59">
        <v>3076</v>
      </c>
      <c r="F63" s="60">
        <v>2076</v>
      </c>
      <c r="G63" s="61">
        <f t="shared" si="18"/>
        <v>1000</v>
      </c>
      <c r="H63" s="62">
        <f>262+50+25</f>
        <v>337</v>
      </c>
      <c r="I63" s="62">
        <f t="shared" si="19"/>
        <v>663</v>
      </c>
    </row>
    <row r="64" spans="2:9" x14ac:dyDescent="0.25">
      <c r="B64" s="2" t="s">
        <v>184</v>
      </c>
      <c r="C64" s="58">
        <v>1000</v>
      </c>
      <c r="D64" s="58">
        <v>1050</v>
      </c>
      <c r="E64" s="59">
        <v>1050</v>
      </c>
      <c r="F64" s="60">
        <v>946</v>
      </c>
      <c r="G64" s="61">
        <f t="shared" si="18"/>
        <v>104</v>
      </c>
      <c r="H64" s="62">
        <f>4+36</f>
        <v>40</v>
      </c>
      <c r="I64" s="62">
        <f t="shared" si="19"/>
        <v>64</v>
      </c>
    </row>
    <row r="65" spans="2:9" x14ac:dyDescent="0.25">
      <c r="B65" s="2" t="s">
        <v>185</v>
      </c>
      <c r="C65" s="58">
        <v>2500</v>
      </c>
      <c r="D65" s="58">
        <v>2603</v>
      </c>
      <c r="E65" s="59">
        <v>2603</v>
      </c>
      <c r="F65" s="60">
        <v>918</v>
      </c>
      <c r="G65" s="61">
        <f t="shared" si="18"/>
        <v>1685</v>
      </c>
      <c r="H65" s="62">
        <f>1383+50+25</f>
        <v>1458</v>
      </c>
      <c r="I65" s="62">
        <f t="shared" si="19"/>
        <v>227</v>
      </c>
    </row>
    <row r="66" spans="2:9" ht="15.75" x14ac:dyDescent="0.25">
      <c r="B66" s="52" t="s">
        <v>186</v>
      </c>
      <c r="C66" s="63">
        <f>SUM(C59:C65)</f>
        <v>20500</v>
      </c>
      <c r="D66" s="63">
        <f>SUM(D59:D65)</f>
        <v>16061</v>
      </c>
      <c r="E66" s="63">
        <f>SUM(E59:E65)</f>
        <v>19961</v>
      </c>
      <c r="F66" s="64">
        <f>SUM(F59:F65)</f>
        <v>11601</v>
      </c>
      <c r="G66" s="65">
        <f t="shared" si="18"/>
        <v>8360</v>
      </c>
      <c r="H66" s="66">
        <f>SUM(H59:H65)</f>
        <v>6352</v>
      </c>
      <c r="I66" s="67">
        <f>SUM(I59:I65)</f>
        <v>2008</v>
      </c>
    </row>
    <row r="67" spans="2:9" ht="10.5" customHeight="1" x14ac:dyDescent="0.25"/>
  </sheetData>
  <mergeCells count="6">
    <mergeCell ref="B24:I24"/>
    <mergeCell ref="C25:E25"/>
    <mergeCell ref="B46:I46"/>
    <mergeCell ref="C47:E47"/>
    <mergeCell ref="B2:I2"/>
    <mergeCell ref="C3:E3"/>
  </mergeCells>
  <pageMargins left="0.70866141732283472" right="0.70866141732283472" top="0.74803149606299213" bottom="0.74803149606299213" header="0.31496062992125984" footer="0.31496062992125984"/>
  <pageSetup orientation="landscape" horizontalDpi="240" verticalDpi="14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Kebutuhan Katalog</vt:lpstr>
      <vt:lpstr>Kebutuhan Pelanggan</vt:lpstr>
      <vt:lpstr>SO Katalog 04122018</vt:lpstr>
      <vt:lpstr>SO Katalog 28112018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Windows User</cp:lastModifiedBy>
  <cp:lastPrinted>2018-12-03T07:41:06Z</cp:lastPrinted>
  <dcterms:created xsi:type="dcterms:W3CDTF">2018-09-04T07:43:36Z</dcterms:created>
  <dcterms:modified xsi:type="dcterms:W3CDTF">2018-12-06T10:56:46Z</dcterms:modified>
</cp:coreProperties>
</file>